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541137C7-8C05-4047-9D8C-106B3066FC7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1-'!$A$1:$L$793</definedName>
    <definedName name="_xlnm.Print_Area" localSheetId="0">'Смета СН-2012 по гл. 1-5'!$A$1:$K$786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6" i="1" l="1"/>
  <c r="A1" i="7"/>
  <c r="B6" i="7"/>
  <c r="G6" i="7"/>
  <c r="A10" i="7"/>
  <c r="A15" i="7"/>
  <c r="A18" i="7"/>
  <c r="A32" i="7"/>
  <c r="A34" i="7"/>
  <c r="B35" i="7"/>
  <c r="C35" i="7"/>
  <c r="D35" i="7"/>
  <c r="E35" i="7"/>
  <c r="F36" i="7"/>
  <c r="G36" i="7"/>
  <c r="H36" i="7"/>
  <c r="I36" i="7"/>
  <c r="F37" i="7"/>
  <c r="G37" i="7"/>
  <c r="H37" i="7"/>
  <c r="I37" i="7"/>
  <c r="E38" i="7"/>
  <c r="E39" i="7"/>
  <c r="E40" i="7"/>
  <c r="G40" i="7"/>
  <c r="H40" i="7"/>
  <c r="B42" i="7"/>
  <c r="C42" i="7"/>
  <c r="D42" i="7"/>
  <c r="F44" i="7"/>
  <c r="G44" i="7"/>
  <c r="H44" i="7"/>
  <c r="I44" i="7"/>
  <c r="E45" i="7"/>
  <c r="E46" i="7"/>
  <c r="E47" i="7"/>
  <c r="G47" i="7"/>
  <c r="H47" i="7"/>
  <c r="A53" i="7"/>
  <c r="A55" i="7"/>
  <c r="B56" i="7"/>
  <c r="C56" i="7"/>
  <c r="D56" i="7"/>
  <c r="F58" i="7"/>
  <c r="G58" i="7"/>
  <c r="H58" i="7"/>
  <c r="I58" i="7"/>
  <c r="F59" i="7"/>
  <c r="G59" i="7"/>
  <c r="H59" i="7"/>
  <c r="I59" i="7"/>
  <c r="F60" i="7"/>
  <c r="G60" i="7"/>
  <c r="H60" i="7"/>
  <c r="I60" i="7"/>
  <c r="F61" i="7"/>
  <c r="G61" i="7"/>
  <c r="H61" i="7"/>
  <c r="I61" i="7"/>
  <c r="E62" i="7"/>
  <c r="E63" i="7"/>
  <c r="E64" i="7"/>
  <c r="E65" i="7"/>
  <c r="G65" i="7"/>
  <c r="H65" i="7"/>
  <c r="A71" i="7"/>
  <c r="B73" i="7"/>
  <c r="B74" i="7"/>
  <c r="C74" i="7"/>
  <c r="D74" i="7"/>
  <c r="F75" i="7"/>
  <c r="G75" i="7"/>
  <c r="H75" i="7"/>
  <c r="I75" i="7"/>
  <c r="E76" i="7"/>
  <c r="E77" i="7"/>
  <c r="E78" i="7"/>
  <c r="G78" i="7"/>
  <c r="H78" i="7"/>
  <c r="B80" i="7"/>
  <c r="C80" i="7"/>
  <c r="D80" i="7"/>
  <c r="F82" i="7"/>
  <c r="G82" i="7"/>
  <c r="H82" i="7"/>
  <c r="I82" i="7"/>
  <c r="E83" i="7"/>
  <c r="E84" i="7"/>
  <c r="E85" i="7"/>
  <c r="G85" i="7"/>
  <c r="H85" i="7"/>
  <c r="B87" i="7"/>
  <c r="C87" i="7"/>
  <c r="D87" i="7"/>
  <c r="E87" i="7"/>
  <c r="F88" i="7"/>
  <c r="G88" i="7"/>
  <c r="H88" i="7"/>
  <c r="I88" i="7"/>
  <c r="F89" i="7"/>
  <c r="G89" i="7"/>
  <c r="H89" i="7"/>
  <c r="I89" i="7"/>
  <c r="E90" i="7"/>
  <c r="E91" i="7"/>
  <c r="E92" i="7"/>
  <c r="G92" i="7"/>
  <c r="H92" i="7"/>
  <c r="B94" i="7"/>
  <c r="C94" i="7"/>
  <c r="D94" i="7"/>
  <c r="E94" i="7"/>
  <c r="F95" i="7"/>
  <c r="G95" i="7"/>
  <c r="H95" i="7"/>
  <c r="I95" i="7"/>
  <c r="E96" i="7"/>
  <c r="E97" i="7"/>
  <c r="E98" i="7"/>
  <c r="G98" i="7"/>
  <c r="H98" i="7"/>
  <c r="B100" i="7"/>
  <c r="C100" i="7"/>
  <c r="D100" i="7"/>
  <c r="E100" i="7"/>
  <c r="F101" i="7"/>
  <c r="G101" i="7"/>
  <c r="H101" i="7"/>
  <c r="I101" i="7"/>
  <c r="F102" i="7"/>
  <c r="G102" i="7"/>
  <c r="H102" i="7"/>
  <c r="I102" i="7"/>
  <c r="E103" i="7"/>
  <c r="E104" i="7"/>
  <c r="E105" i="7"/>
  <c r="G105" i="7"/>
  <c r="H105" i="7"/>
  <c r="B107" i="7"/>
  <c r="C107" i="7"/>
  <c r="D107" i="7"/>
  <c r="F109" i="7"/>
  <c r="G109" i="7"/>
  <c r="H109" i="7"/>
  <c r="I109" i="7"/>
  <c r="F110" i="7"/>
  <c r="G110" i="7"/>
  <c r="H110" i="7"/>
  <c r="I110" i="7"/>
  <c r="E111" i="7"/>
  <c r="E112" i="7"/>
  <c r="E113" i="7"/>
  <c r="G113" i="7"/>
  <c r="H113" i="7"/>
  <c r="B116" i="7"/>
  <c r="B117" i="7"/>
  <c r="C117" i="7"/>
  <c r="D117" i="7"/>
  <c r="F119" i="7"/>
  <c r="G119" i="7"/>
  <c r="H119" i="7"/>
  <c r="I119" i="7"/>
  <c r="E120" i="7"/>
  <c r="E121" i="7"/>
  <c r="E122" i="7"/>
  <c r="G122" i="7"/>
  <c r="H122" i="7"/>
  <c r="B124" i="7"/>
  <c r="C124" i="7"/>
  <c r="D124" i="7"/>
  <c r="E124" i="7"/>
  <c r="F125" i="7"/>
  <c r="G125" i="7"/>
  <c r="H125" i="7"/>
  <c r="I125" i="7"/>
  <c r="F126" i="7"/>
  <c r="G126" i="7"/>
  <c r="H126" i="7"/>
  <c r="I126" i="7"/>
  <c r="E127" i="7"/>
  <c r="E128" i="7"/>
  <c r="E129" i="7"/>
  <c r="G129" i="7"/>
  <c r="H129" i="7"/>
  <c r="B131" i="7"/>
  <c r="C131" i="7"/>
  <c r="D131" i="7"/>
  <c r="F133" i="7"/>
  <c r="G133" i="7"/>
  <c r="H133" i="7"/>
  <c r="I133" i="7"/>
  <c r="F134" i="7"/>
  <c r="G134" i="7"/>
  <c r="H134" i="7"/>
  <c r="I134" i="7"/>
  <c r="E135" i="7"/>
  <c r="E136" i="7"/>
  <c r="E137" i="7"/>
  <c r="G137" i="7"/>
  <c r="H137" i="7"/>
  <c r="B139" i="7"/>
  <c r="C139" i="7"/>
  <c r="D139" i="7"/>
  <c r="F141" i="7"/>
  <c r="G141" i="7"/>
  <c r="H141" i="7"/>
  <c r="I141" i="7"/>
  <c r="E142" i="7"/>
  <c r="E143" i="7"/>
  <c r="E144" i="7"/>
  <c r="G144" i="7"/>
  <c r="H144" i="7"/>
  <c r="B146" i="7"/>
  <c r="C146" i="7"/>
  <c r="D146" i="7"/>
  <c r="F148" i="7"/>
  <c r="G148" i="7"/>
  <c r="H148" i="7"/>
  <c r="I148" i="7"/>
  <c r="F149" i="7"/>
  <c r="G149" i="7"/>
  <c r="H149" i="7"/>
  <c r="I149" i="7"/>
  <c r="B150" i="7"/>
  <c r="C150" i="7"/>
  <c r="D150" i="7"/>
  <c r="F150" i="7"/>
  <c r="H150" i="7"/>
  <c r="I150" i="7"/>
  <c r="E151" i="7"/>
  <c r="E152" i="7"/>
  <c r="E153" i="7"/>
  <c r="G153" i="7"/>
  <c r="H153" i="7"/>
  <c r="B155" i="7"/>
  <c r="C155" i="7"/>
  <c r="D155" i="7"/>
  <c r="E155" i="7"/>
  <c r="F156" i="7"/>
  <c r="G156" i="7"/>
  <c r="H156" i="7"/>
  <c r="I156" i="7"/>
  <c r="F157" i="7"/>
  <c r="G157" i="7"/>
  <c r="H157" i="7"/>
  <c r="I157" i="7"/>
  <c r="E158" i="7"/>
  <c r="E159" i="7"/>
  <c r="E160" i="7"/>
  <c r="G160" i="7"/>
  <c r="H160" i="7"/>
  <c r="B163" i="7"/>
  <c r="B164" i="7"/>
  <c r="C164" i="7"/>
  <c r="D164" i="7"/>
  <c r="F166" i="7"/>
  <c r="G166" i="7"/>
  <c r="H166" i="7"/>
  <c r="I166" i="7"/>
  <c r="E167" i="7"/>
  <c r="E168" i="7"/>
  <c r="E169" i="7"/>
  <c r="G169" i="7"/>
  <c r="H169" i="7"/>
  <c r="B171" i="7"/>
  <c r="C171" i="7"/>
  <c r="D171" i="7"/>
  <c r="F173" i="7"/>
  <c r="G173" i="7"/>
  <c r="H173" i="7"/>
  <c r="I173" i="7"/>
  <c r="F174" i="7"/>
  <c r="G174" i="7"/>
  <c r="H174" i="7"/>
  <c r="I174" i="7"/>
  <c r="E175" i="7"/>
  <c r="E176" i="7"/>
  <c r="E177" i="7"/>
  <c r="G177" i="7"/>
  <c r="H177" i="7"/>
  <c r="B179" i="7"/>
  <c r="C179" i="7"/>
  <c r="D179" i="7"/>
  <c r="E179" i="7"/>
  <c r="F180" i="7"/>
  <c r="G180" i="7"/>
  <c r="H180" i="7"/>
  <c r="I180" i="7"/>
  <c r="F181" i="7"/>
  <c r="G181" i="7"/>
  <c r="H181" i="7"/>
  <c r="I181" i="7"/>
  <c r="F182" i="7"/>
  <c r="G182" i="7"/>
  <c r="H182" i="7"/>
  <c r="I182" i="7"/>
  <c r="E183" i="7"/>
  <c r="E184" i="7"/>
  <c r="E185" i="7"/>
  <c r="E186" i="7"/>
  <c r="G186" i="7"/>
  <c r="H186" i="7"/>
  <c r="B188" i="7"/>
  <c r="C188" i="7"/>
  <c r="D188" i="7"/>
  <c r="E188" i="7"/>
  <c r="F189" i="7"/>
  <c r="G189" i="7"/>
  <c r="H189" i="7"/>
  <c r="I189" i="7"/>
  <c r="E190" i="7"/>
  <c r="E191" i="7"/>
  <c r="E192" i="7"/>
  <c r="G192" i="7"/>
  <c r="H192" i="7"/>
  <c r="B194" i="7"/>
  <c r="C194" i="7"/>
  <c r="D194" i="7"/>
  <c r="E194" i="7"/>
  <c r="F195" i="7"/>
  <c r="G195" i="7"/>
  <c r="H195" i="7"/>
  <c r="I195" i="7"/>
  <c r="F196" i="7"/>
  <c r="G196" i="7"/>
  <c r="H196" i="7"/>
  <c r="I196" i="7"/>
  <c r="E197" i="7"/>
  <c r="E198" i="7"/>
  <c r="E199" i="7"/>
  <c r="G199" i="7"/>
  <c r="H199" i="7"/>
  <c r="B201" i="7"/>
  <c r="C201" i="7"/>
  <c r="D201" i="7"/>
  <c r="E201" i="7"/>
  <c r="F202" i="7"/>
  <c r="G202" i="7"/>
  <c r="H202" i="7"/>
  <c r="I202" i="7"/>
  <c r="F203" i="7"/>
  <c r="G203" i="7"/>
  <c r="H203" i="7"/>
  <c r="I203" i="7"/>
  <c r="F204" i="7"/>
  <c r="G204" i="7"/>
  <c r="H204" i="7"/>
  <c r="I204" i="7"/>
  <c r="F205" i="7"/>
  <c r="G205" i="7"/>
  <c r="H205" i="7"/>
  <c r="I205" i="7"/>
  <c r="E206" i="7"/>
  <c r="E207" i="7"/>
  <c r="E208" i="7"/>
  <c r="E209" i="7"/>
  <c r="G209" i="7"/>
  <c r="H209" i="7"/>
  <c r="B211" i="7"/>
  <c r="C211" i="7"/>
  <c r="D211" i="7"/>
  <c r="E211" i="7"/>
  <c r="F212" i="7"/>
  <c r="G212" i="7"/>
  <c r="H212" i="7"/>
  <c r="I212" i="7"/>
  <c r="F213" i="7"/>
  <c r="G213" i="7"/>
  <c r="H213" i="7"/>
  <c r="I213" i="7"/>
  <c r="E214" i="7"/>
  <c r="E215" i="7"/>
  <c r="E216" i="7"/>
  <c r="G216" i="7"/>
  <c r="H216" i="7"/>
  <c r="B218" i="7"/>
  <c r="C218" i="7"/>
  <c r="D218" i="7"/>
  <c r="F220" i="7"/>
  <c r="G220" i="7"/>
  <c r="H220" i="7"/>
  <c r="I220" i="7"/>
  <c r="E221" i="7"/>
  <c r="E222" i="7"/>
  <c r="E223" i="7"/>
  <c r="G223" i="7"/>
  <c r="H223" i="7"/>
  <c r="B225" i="7"/>
  <c r="C225" i="7"/>
  <c r="D225" i="7"/>
  <c r="F227" i="7"/>
  <c r="G227" i="7"/>
  <c r="H227" i="7"/>
  <c r="I227" i="7"/>
  <c r="F228" i="7"/>
  <c r="G228" i="7"/>
  <c r="H228" i="7"/>
  <c r="I228" i="7"/>
  <c r="E229" i="7"/>
  <c r="E230" i="7"/>
  <c r="E231" i="7"/>
  <c r="G231" i="7"/>
  <c r="H231" i="7"/>
  <c r="B233" i="7"/>
  <c r="C233" i="7"/>
  <c r="D233" i="7"/>
  <c r="F235" i="7"/>
  <c r="G235" i="7"/>
  <c r="H235" i="7"/>
  <c r="I235" i="7"/>
  <c r="E236" i="7"/>
  <c r="E237" i="7"/>
  <c r="E238" i="7"/>
  <c r="G238" i="7"/>
  <c r="H238" i="7"/>
  <c r="B240" i="7"/>
  <c r="C240" i="7"/>
  <c r="D240" i="7"/>
  <c r="F242" i="7"/>
  <c r="G242" i="7"/>
  <c r="H242" i="7"/>
  <c r="I242" i="7"/>
  <c r="F243" i="7"/>
  <c r="G243" i="7"/>
  <c r="H243" i="7"/>
  <c r="I243" i="7"/>
  <c r="B244" i="7"/>
  <c r="C244" i="7"/>
  <c r="D244" i="7"/>
  <c r="F244" i="7"/>
  <c r="H244" i="7"/>
  <c r="I244" i="7"/>
  <c r="E245" i="7"/>
  <c r="E246" i="7"/>
  <c r="E247" i="7"/>
  <c r="G247" i="7"/>
  <c r="H247" i="7"/>
  <c r="B250" i="7"/>
  <c r="B251" i="7"/>
  <c r="C251" i="7"/>
  <c r="D251" i="7"/>
  <c r="E251" i="7"/>
  <c r="F252" i="7"/>
  <c r="G252" i="7"/>
  <c r="H252" i="7"/>
  <c r="I252" i="7"/>
  <c r="F253" i="7"/>
  <c r="G253" i="7"/>
  <c r="H253" i="7"/>
  <c r="I253" i="7"/>
  <c r="F254" i="7"/>
  <c r="G254" i="7"/>
  <c r="H254" i="7"/>
  <c r="I254" i="7"/>
  <c r="E255" i="7"/>
  <c r="E256" i="7"/>
  <c r="E257" i="7"/>
  <c r="E258" i="7"/>
  <c r="G258" i="7"/>
  <c r="H258" i="7"/>
  <c r="B260" i="7"/>
  <c r="C260" i="7"/>
  <c r="D260" i="7"/>
  <c r="E260" i="7"/>
  <c r="F261" i="7"/>
  <c r="G261" i="7"/>
  <c r="H261" i="7"/>
  <c r="I261" i="7"/>
  <c r="E262" i="7"/>
  <c r="E263" i="7"/>
  <c r="E264" i="7"/>
  <c r="G264" i="7"/>
  <c r="H264" i="7"/>
  <c r="B266" i="7"/>
  <c r="C266" i="7"/>
  <c r="D266" i="7"/>
  <c r="F268" i="7"/>
  <c r="G268" i="7"/>
  <c r="H268" i="7"/>
  <c r="I268" i="7"/>
  <c r="F269" i="7"/>
  <c r="G269" i="7"/>
  <c r="H269" i="7"/>
  <c r="I269" i="7"/>
  <c r="E270" i="7"/>
  <c r="E271" i="7"/>
  <c r="E272" i="7"/>
  <c r="G272" i="7"/>
  <c r="H272" i="7"/>
  <c r="B274" i="7"/>
  <c r="C274" i="7"/>
  <c r="D274" i="7"/>
  <c r="F276" i="7"/>
  <c r="G276" i="7"/>
  <c r="H276" i="7"/>
  <c r="I276" i="7"/>
  <c r="E277" i="7"/>
  <c r="E278" i="7"/>
  <c r="E279" i="7"/>
  <c r="G279" i="7"/>
  <c r="H279" i="7"/>
  <c r="B281" i="7"/>
  <c r="C281" i="7"/>
  <c r="D281" i="7"/>
  <c r="E281" i="7"/>
  <c r="F282" i="7"/>
  <c r="G282" i="7"/>
  <c r="H282" i="7"/>
  <c r="I282" i="7"/>
  <c r="F283" i="7"/>
  <c r="G283" i="7"/>
  <c r="H283" i="7"/>
  <c r="I283" i="7"/>
  <c r="E284" i="7"/>
  <c r="E285" i="7"/>
  <c r="E286" i="7"/>
  <c r="G286" i="7"/>
  <c r="H286" i="7"/>
  <c r="B288" i="7"/>
  <c r="C288" i="7"/>
  <c r="D288" i="7"/>
  <c r="E288" i="7"/>
  <c r="F289" i="7"/>
  <c r="G289" i="7"/>
  <c r="H289" i="7"/>
  <c r="I289" i="7"/>
  <c r="F290" i="7"/>
  <c r="G290" i="7"/>
  <c r="H290" i="7"/>
  <c r="I290" i="7"/>
  <c r="F291" i="7"/>
  <c r="G291" i="7"/>
  <c r="H291" i="7"/>
  <c r="I291" i="7"/>
  <c r="F292" i="7"/>
  <c r="G292" i="7"/>
  <c r="H292" i="7"/>
  <c r="I292" i="7"/>
  <c r="E293" i="7"/>
  <c r="E294" i="7"/>
  <c r="E295" i="7"/>
  <c r="E296" i="7"/>
  <c r="G296" i="7"/>
  <c r="H296" i="7"/>
  <c r="B298" i="7"/>
  <c r="C298" i="7"/>
  <c r="D298" i="7"/>
  <c r="E298" i="7"/>
  <c r="F299" i="7"/>
  <c r="G299" i="7"/>
  <c r="H299" i="7"/>
  <c r="I299" i="7"/>
  <c r="F300" i="7"/>
  <c r="G300" i="7"/>
  <c r="H300" i="7"/>
  <c r="I300" i="7"/>
  <c r="E301" i="7"/>
  <c r="E302" i="7"/>
  <c r="E303" i="7"/>
  <c r="G303" i="7"/>
  <c r="H303" i="7"/>
  <c r="B305" i="7"/>
  <c r="C305" i="7"/>
  <c r="D305" i="7"/>
  <c r="F307" i="7"/>
  <c r="G307" i="7"/>
  <c r="H307" i="7"/>
  <c r="I307" i="7"/>
  <c r="E308" i="7"/>
  <c r="E309" i="7"/>
  <c r="E310" i="7"/>
  <c r="G310" i="7"/>
  <c r="H310" i="7"/>
  <c r="B312" i="7"/>
  <c r="C312" i="7"/>
  <c r="D312" i="7"/>
  <c r="F314" i="7"/>
  <c r="G314" i="7"/>
  <c r="H314" i="7"/>
  <c r="I314" i="7"/>
  <c r="F315" i="7"/>
  <c r="G315" i="7"/>
  <c r="H315" i="7"/>
  <c r="I315" i="7"/>
  <c r="E316" i="7"/>
  <c r="E317" i="7"/>
  <c r="E318" i="7"/>
  <c r="G318" i="7"/>
  <c r="H318" i="7"/>
  <c r="B320" i="7"/>
  <c r="C320" i="7"/>
  <c r="D320" i="7"/>
  <c r="F322" i="7"/>
  <c r="G322" i="7"/>
  <c r="H322" i="7"/>
  <c r="I322" i="7"/>
  <c r="F323" i="7"/>
  <c r="G323" i="7"/>
  <c r="H323" i="7"/>
  <c r="I323" i="7"/>
  <c r="B324" i="7"/>
  <c r="C324" i="7"/>
  <c r="D324" i="7"/>
  <c r="F324" i="7"/>
  <c r="H324" i="7"/>
  <c r="I324" i="7"/>
  <c r="E325" i="7"/>
  <c r="E326" i="7"/>
  <c r="E327" i="7"/>
  <c r="G327" i="7"/>
  <c r="H327" i="7"/>
  <c r="B329" i="7"/>
  <c r="C329" i="7"/>
  <c r="D329" i="7"/>
  <c r="F331" i="7"/>
  <c r="G331" i="7"/>
  <c r="H331" i="7"/>
  <c r="I331" i="7"/>
  <c r="E332" i="7"/>
  <c r="E333" i="7"/>
  <c r="E334" i="7"/>
  <c r="G334" i="7"/>
  <c r="H334" i="7"/>
  <c r="A343" i="7"/>
  <c r="B344" i="7"/>
  <c r="C344" i="7"/>
  <c r="D344" i="7"/>
  <c r="E344" i="7"/>
  <c r="F345" i="7"/>
  <c r="G345" i="7"/>
  <c r="H345" i="7"/>
  <c r="I345" i="7"/>
  <c r="F346" i="7"/>
  <c r="G346" i="7"/>
  <c r="H346" i="7"/>
  <c r="I346" i="7"/>
  <c r="F347" i="7"/>
  <c r="G347" i="7"/>
  <c r="H347" i="7"/>
  <c r="I347" i="7"/>
  <c r="F348" i="7"/>
  <c r="G348" i="7"/>
  <c r="H348" i="7"/>
  <c r="I348" i="7"/>
  <c r="E349" i="7"/>
  <c r="E350" i="7"/>
  <c r="E351" i="7"/>
  <c r="E352" i="7"/>
  <c r="G352" i="7"/>
  <c r="H352" i="7"/>
  <c r="B354" i="7"/>
  <c r="C354" i="7"/>
  <c r="D354" i="7"/>
  <c r="E354" i="7"/>
  <c r="F355" i="7"/>
  <c r="G355" i="7"/>
  <c r="H355" i="7"/>
  <c r="I355" i="7"/>
  <c r="F356" i="7"/>
  <c r="G356" i="7"/>
  <c r="H356" i="7"/>
  <c r="I356" i="7"/>
  <c r="F357" i="7"/>
  <c r="G357" i="7"/>
  <c r="H357" i="7"/>
  <c r="I357" i="7"/>
  <c r="F358" i="7"/>
  <c r="G358" i="7"/>
  <c r="H358" i="7"/>
  <c r="I358" i="7"/>
  <c r="E359" i="7"/>
  <c r="E360" i="7"/>
  <c r="E361" i="7"/>
  <c r="E362" i="7"/>
  <c r="G362" i="7"/>
  <c r="H362" i="7"/>
  <c r="B364" i="7"/>
  <c r="C364" i="7"/>
  <c r="D364" i="7"/>
  <c r="E364" i="7"/>
  <c r="F365" i="7"/>
  <c r="G365" i="7"/>
  <c r="H365" i="7"/>
  <c r="I365" i="7"/>
  <c r="F366" i="7"/>
  <c r="G366" i="7"/>
  <c r="H366" i="7"/>
  <c r="I366" i="7"/>
  <c r="E367" i="7"/>
  <c r="E368" i="7"/>
  <c r="E369" i="7"/>
  <c r="G369" i="7"/>
  <c r="H369" i="7"/>
  <c r="B371" i="7"/>
  <c r="C371" i="7"/>
  <c r="D371" i="7"/>
  <c r="E371" i="7"/>
  <c r="F372" i="7"/>
  <c r="G372" i="7"/>
  <c r="H372" i="7"/>
  <c r="I372" i="7"/>
  <c r="F373" i="7"/>
  <c r="G373" i="7"/>
  <c r="H373" i="7"/>
  <c r="I373" i="7"/>
  <c r="E374" i="7"/>
  <c r="E375" i="7"/>
  <c r="E376" i="7"/>
  <c r="G376" i="7"/>
  <c r="H376" i="7"/>
  <c r="B378" i="7"/>
  <c r="C378" i="7"/>
  <c r="D378" i="7"/>
  <c r="E378" i="7"/>
  <c r="F379" i="7"/>
  <c r="G379" i="7"/>
  <c r="H379" i="7"/>
  <c r="I379" i="7"/>
  <c r="F380" i="7"/>
  <c r="G380" i="7"/>
  <c r="H380" i="7"/>
  <c r="I380" i="7"/>
  <c r="F381" i="7"/>
  <c r="G381" i="7"/>
  <c r="H381" i="7"/>
  <c r="I381" i="7"/>
  <c r="F382" i="7"/>
  <c r="G382" i="7"/>
  <c r="H382" i="7"/>
  <c r="I382" i="7"/>
  <c r="E383" i="7"/>
  <c r="E384" i="7"/>
  <c r="E385" i="7"/>
  <c r="E386" i="7"/>
  <c r="G386" i="7"/>
  <c r="H386" i="7"/>
  <c r="A392" i="7"/>
  <c r="A394" i="7"/>
  <c r="B395" i="7"/>
  <c r="C395" i="7"/>
  <c r="D395" i="7"/>
  <c r="E395" i="7"/>
  <c r="F396" i="7"/>
  <c r="G396" i="7"/>
  <c r="H396" i="7"/>
  <c r="I396" i="7"/>
  <c r="F397" i="7"/>
  <c r="G397" i="7"/>
  <c r="H397" i="7"/>
  <c r="I397" i="7"/>
  <c r="E398" i="7"/>
  <c r="E399" i="7"/>
  <c r="E400" i="7"/>
  <c r="G400" i="7"/>
  <c r="H400" i="7"/>
  <c r="B402" i="7"/>
  <c r="C402" i="7"/>
  <c r="D402" i="7"/>
  <c r="E402" i="7"/>
  <c r="F403" i="7"/>
  <c r="G403" i="7"/>
  <c r="H403" i="7"/>
  <c r="I403" i="7"/>
  <c r="F404" i="7"/>
  <c r="G404" i="7"/>
  <c r="H404" i="7"/>
  <c r="I404" i="7"/>
  <c r="E405" i="7"/>
  <c r="E406" i="7"/>
  <c r="E407" i="7"/>
  <c r="G407" i="7"/>
  <c r="H407" i="7"/>
  <c r="B409" i="7"/>
  <c r="C409" i="7"/>
  <c r="D409" i="7"/>
  <c r="E409" i="7"/>
  <c r="F410" i="7"/>
  <c r="G410" i="7"/>
  <c r="H410" i="7"/>
  <c r="I410" i="7"/>
  <c r="F411" i="7"/>
  <c r="G411" i="7"/>
  <c r="H411" i="7"/>
  <c r="I411" i="7"/>
  <c r="E412" i="7"/>
  <c r="E413" i="7"/>
  <c r="E414" i="7"/>
  <c r="G414" i="7"/>
  <c r="H414" i="7"/>
  <c r="B416" i="7"/>
  <c r="C416" i="7"/>
  <c r="D416" i="7"/>
  <c r="F418" i="7"/>
  <c r="G418" i="7"/>
  <c r="H418" i="7"/>
  <c r="I418" i="7"/>
  <c r="F419" i="7"/>
  <c r="G419" i="7"/>
  <c r="H419" i="7"/>
  <c r="I419" i="7"/>
  <c r="E420" i="7"/>
  <c r="E421" i="7"/>
  <c r="E422" i="7"/>
  <c r="G422" i="7"/>
  <c r="H422" i="7"/>
  <c r="B424" i="7"/>
  <c r="C424" i="7"/>
  <c r="D424" i="7"/>
  <c r="E424" i="7"/>
  <c r="F425" i="7"/>
  <c r="G425" i="7"/>
  <c r="H425" i="7"/>
  <c r="I425" i="7"/>
  <c r="F426" i="7"/>
  <c r="G426" i="7"/>
  <c r="H426" i="7"/>
  <c r="I426" i="7"/>
  <c r="E427" i="7"/>
  <c r="E428" i="7"/>
  <c r="E429" i="7"/>
  <c r="G429" i="7"/>
  <c r="H429" i="7"/>
  <c r="B431" i="7"/>
  <c r="C431" i="7"/>
  <c r="D431" i="7"/>
  <c r="E431" i="7"/>
  <c r="F432" i="7"/>
  <c r="G432" i="7"/>
  <c r="H432" i="7"/>
  <c r="I432" i="7"/>
  <c r="E433" i="7"/>
  <c r="E434" i="7"/>
  <c r="E435" i="7"/>
  <c r="G435" i="7"/>
  <c r="H435" i="7"/>
  <c r="B437" i="7"/>
  <c r="C437" i="7"/>
  <c r="D437" i="7"/>
  <c r="E437" i="7"/>
  <c r="F438" i="7"/>
  <c r="G438" i="7"/>
  <c r="H438" i="7"/>
  <c r="I438" i="7"/>
  <c r="F439" i="7"/>
  <c r="G439" i="7"/>
  <c r="H439" i="7"/>
  <c r="I439" i="7"/>
  <c r="E440" i="7"/>
  <c r="E441" i="7"/>
  <c r="E442" i="7"/>
  <c r="G442" i="7"/>
  <c r="H442" i="7"/>
  <c r="B444" i="7"/>
  <c r="C444" i="7"/>
  <c r="D444" i="7"/>
  <c r="F446" i="7"/>
  <c r="G446" i="7"/>
  <c r="H446" i="7"/>
  <c r="I446" i="7"/>
  <c r="F447" i="7"/>
  <c r="G447" i="7"/>
  <c r="H447" i="7"/>
  <c r="I447" i="7"/>
  <c r="E448" i="7"/>
  <c r="E449" i="7"/>
  <c r="E450" i="7"/>
  <c r="G450" i="7"/>
  <c r="H450" i="7"/>
  <c r="A456" i="7"/>
  <c r="I458" i="7"/>
  <c r="A461" i="7"/>
  <c r="D462" i="7"/>
  <c r="F464" i="7"/>
  <c r="G464" i="7"/>
  <c r="H464" i="7"/>
  <c r="I464" i="7"/>
  <c r="F465" i="7"/>
  <c r="G465" i="7"/>
  <c r="H465" i="7"/>
  <c r="I465" i="7"/>
  <c r="E466" i="7"/>
  <c r="E467" i="7"/>
  <c r="E468" i="7"/>
  <c r="G468" i="7"/>
  <c r="H468" i="7"/>
  <c r="B470" i="7"/>
  <c r="C470" i="7"/>
  <c r="D470" i="7"/>
  <c r="F472" i="7"/>
  <c r="G472" i="7"/>
  <c r="H472" i="7"/>
  <c r="I472" i="7"/>
  <c r="F473" i="7"/>
  <c r="G473" i="7"/>
  <c r="H473" i="7"/>
  <c r="I473" i="7"/>
  <c r="E474" i="7"/>
  <c r="E475" i="7"/>
  <c r="E476" i="7"/>
  <c r="G476" i="7"/>
  <c r="H476" i="7"/>
  <c r="D478" i="7"/>
  <c r="F480" i="7"/>
  <c r="G480" i="7"/>
  <c r="H480" i="7"/>
  <c r="I480" i="7"/>
  <c r="F481" i="7"/>
  <c r="G481" i="7"/>
  <c r="H481" i="7"/>
  <c r="I481" i="7"/>
  <c r="E482" i="7"/>
  <c r="E483" i="7"/>
  <c r="E484" i="7"/>
  <c r="G484" i="7"/>
  <c r="H484" i="7"/>
  <c r="B486" i="7"/>
  <c r="C486" i="7"/>
  <c r="D486" i="7"/>
  <c r="F488" i="7"/>
  <c r="G488" i="7"/>
  <c r="H488" i="7"/>
  <c r="I488" i="7"/>
  <c r="F489" i="7"/>
  <c r="G489" i="7"/>
  <c r="H489" i="7"/>
  <c r="I489" i="7"/>
  <c r="E490" i="7"/>
  <c r="E491" i="7"/>
  <c r="E492" i="7"/>
  <c r="G492" i="7"/>
  <c r="H492" i="7"/>
  <c r="B494" i="7"/>
  <c r="C494" i="7"/>
  <c r="D494" i="7"/>
  <c r="F496" i="7"/>
  <c r="G496" i="7"/>
  <c r="H496" i="7"/>
  <c r="I496" i="7"/>
  <c r="F497" i="7"/>
  <c r="G497" i="7"/>
  <c r="H497" i="7"/>
  <c r="I497" i="7"/>
  <c r="E498" i="7"/>
  <c r="E499" i="7"/>
  <c r="E500" i="7"/>
  <c r="G500" i="7"/>
  <c r="H500" i="7"/>
  <c r="A506" i="7"/>
  <c r="B507" i="7"/>
  <c r="C507" i="7"/>
  <c r="D507" i="7"/>
  <c r="F509" i="7"/>
  <c r="G509" i="7"/>
  <c r="H509" i="7"/>
  <c r="I509" i="7"/>
  <c r="F510" i="7"/>
  <c r="G510" i="7"/>
  <c r="H510" i="7"/>
  <c r="I510" i="7"/>
  <c r="E511" i="7"/>
  <c r="E512" i="7"/>
  <c r="E513" i="7"/>
  <c r="G513" i="7"/>
  <c r="H513" i="7"/>
  <c r="B515" i="7"/>
  <c r="C515" i="7"/>
  <c r="D515" i="7"/>
  <c r="F517" i="7"/>
  <c r="G517" i="7"/>
  <c r="H517" i="7"/>
  <c r="I517" i="7"/>
  <c r="F518" i="7"/>
  <c r="G518" i="7"/>
  <c r="H518" i="7"/>
  <c r="I518" i="7"/>
  <c r="E519" i="7"/>
  <c r="E520" i="7"/>
  <c r="E521" i="7"/>
  <c r="G521" i="7"/>
  <c r="H521" i="7"/>
  <c r="B523" i="7"/>
  <c r="C523" i="7"/>
  <c r="D523" i="7"/>
  <c r="F525" i="7"/>
  <c r="G525" i="7"/>
  <c r="H525" i="7"/>
  <c r="I525" i="7"/>
  <c r="F526" i="7"/>
  <c r="G526" i="7"/>
  <c r="H526" i="7"/>
  <c r="I526" i="7"/>
  <c r="E527" i="7"/>
  <c r="E528" i="7"/>
  <c r="E529" i="7"/>
  <c r="G529" i="7"/>
  <c r="H529" i="7"/>
  <c r="B531" i="7"/>
  <c r="C531" i="7"/>
  <c r="D531" i="7"/>
  <c r="F533" i="7"/>
  <c r="G533" i="7"/>
  <c r="H533" i="7"/>
  <c r="I533" i="7"/>
  <c r="F534" i="7"/>
  <c r="G534" i="7"/>
  <c r="H534" i="7"/>
  <c r="I534" i="7"/>
  <c r="E535" i="7"/>
  <c r="E536" i="7"/>
  <c r="E537" i="7"/>
  <c r="G537" i="7"/>
  <c r="H537" i="7"/>
  <c r="B539" i="7"/>
  <c r="C539" i="7"/>
  <c r="D539" i="7"/>
  <c r="F541" i="7"/>
  <c r="G541" i="7"/>
  <c r="H541" i="7"/>
  <c r="I541" i="7"/>
  <c r="F542" i="7"/>
  <c r="G542" i="7"/>
  <c r="H542" i="7"/>
  <c r="I542" i="7"/>
  <c r="E543" i="7"/>
  <c r="E544" i="7"/>
  <c r="E545" i="7"/>
  <c r="G545" i="7"/>
  <c r="H545" i="7"/>
  <c r="B547" i="7"/>
  <c r="C547" i="7"/>
  <c r="D547" i="7"/>
  <c r="F549" i="7"/>
  <c r="G549" i="7"/>
  <c r="H549" i="7"/>
  <c r="I549" i="7"/>
  <c r="F550" i="7"/>
  <c r="G550" i="7"/>
  <c r="H550" i="7"/>
  <c r="I550" i="7"/>
  <c r="E551" i="7"/>
  <c r="E552" i="7"/>
  <c r="E553" i="7"/>
  <c r="G553" i="7"/>
  <c r="H553" i="7"/>
  <c r="B555" i="7"/>
  <c r="C555" i="7"/>
  <c r="D555" i="7"/>
  <c r="F557" i="7"/>
  <c r="G557" i="7"/>
  <c r="H557" i="7"/>
  <c r="I557" i="7"/>
  <c r="F558" i="7"/>
  <c r="G558" i="7"/>
  <c r="H558" i="7"/>
  <c r="I558" i="7"/>
  <c r="E559" i="7"/>
  <c r="E560" i="7"/>
  <c r="E561" i="7"/>
  <c r="G561" i="7"/>
  <c r="H561" i="7"/>
  <c r="B564" i="7"/>
  <c r="B565" i="7"/>
  <c r="C565" i="7"/>
  <c r="D565" i="7"/>
  <c r="E565" i="7"/>
  <c r="F566" i="7"/>
  <c r="G566" i="7"/>
  <c r="H566" i="7"/>
  <c r="I566" i="7"/>
  <c r="E567" i="7"/>
  <c r="E568" i="7"/>
  <c r="E569" i="7"/>
  <c r="G569" i="7"/>
  <c r="H569" i="7"/>
  <c r="B571" i="7"/>
  <c r="C571" i="7"/>
  <c r="D571" i="7"/>
  <c r="E571" i="7"/>
  <c r="F572" i="7"/>
  <c r="G572" i="7"/>
  <c r="H572" i="7"/>
  <c r="I572" i="7"/>
  <c r="E573" i="7"/>
  <c r="E574" i="7"/>
  <c r="E575" i="7"/>
  <c r="G575" i="7"/>
  <c r="H575" i="7"/>
  <c r="B577" i="7"/>
  <c r="C577" i="7"/>
  <c r="D577" i="7"/>
  <c r="E577" i="7"/>
  <c r="F578" i="7"/>
  <c r="G578" i="7"/>
  <c r="H578" i="7"/>
  <c r="I578" i="7"/>
  <c r="F579" i="7"/>
  <c r="G579" i="7"/>
  <c r="H579" i="7"/>
  <c r="I579" i="7"/>
  <c r="E580" i="7"/>
  <c r="E581" i="7"/>
  <c r="E582" i="7"/>
  <c r="G582" i="7"/>
  <c r="H582" i="7"/>
  <c r="B584" i="7"/>
  <c r="C584" i="7"/>
  <c r="D584" i="7"/>
  <c r="F586" i="7"/>
  <c r="G586" i="7"/>
  <c r="H586" i="7"/>
  <c r="I586" i="7"/>
  <c r="F587" i="7"/>
  <c r="G587" i="7"/>
  <c r="H587" i="7"/>
  <c r="I587" i="7"/>
  <c r="E588" i="7"/>
  <c r="E589" i="7"/>
  <c r="E590" i="7"/>
  <c r="G590" i="7"/>
  <c r="H590" i="7"/>
  <c r="A596" i="7"/>
  <c r="B597" i="7"/>
  <c r="C597" i="7"/>
  <c r="D597" i="7"/>
  <c r="F599" i="7"/>
  <c r="G599" i="7"/>
  <c r="H599" i="7"/>
  <c r="I599" i="7"/>
  <c r="F600" i="7"/>
  <c r="G600" i="7"/>
  <c r="H600" i="7"/>
  <c r="I600" i="7"/>
  <c r="E601" i="7"/>
  <c r="E602" i="7"/>
  <c r="E603" i="7"/>
  <c r="G603" i="7"/>
  <c r="H603" i="7"/>
  <c r="A609" i="7"/>
  <c r="B610" i="7"/>
  <c r="C610" i="7"/>
  <c r="D610" i="7"/>
  <c r="E610" i="7"/>
  <c r="F611" i="7"/>
  <c r="G611" i="7"/>
  <c r="H611" i="7"/>
  <c r="I611" i="7"/>
  <c r="F612" i="7"/>
  <c r="G612" i="7"/>
  <c r="H612" i="7"/>
  <c r="I612" i="7"/>
  <c r="E613" i="7"/>
  <c r="E614" i="7"/>
  <c r="E615" i="7"/>
  <c r="G615" i="7"/>
  <c r="H615" i="7"/>
  <c r="B617" i="7"/>
  <c r="C617" i="7"/>
  <c r="D617" i="7"/>
  <c r="F619" i="7"/>
  <c r="G619" i="7"/>
  <c r="H619" i="7"/>
  <c r="I619" i="7"/>
  <c r="F620" i="7"/>
  <c r="G620" i="7"/>
  <c r="H620" i="7"/>
  <c r="I620" i="7"/>
  <c r="E621" i="7"/>
  <c r="E622" i="7"/>
  <c r="E623" i="7"/>
  <c r="G623" i="7"/>
  <c r="H623" i="7"/>
  <c r="B625" i="7"/>
  <c r="C625" i="7"/>
  <c r="D625" i="7"/>
  <c r="E625" i="7"/>
  <c r="F626" i="7"/>
  <c r="G626" i="7"/>
  <c r="H626" i="7"/>
  <c r="I626" i="7"/>
  <c r="F627" i="7"/>
  <c r="G627" i="7"/>
  <c r="H627" i="7"/>
  <c r="I627" i="7"/>
  <c r="E628" i="7"/>
  <c r="E629" i="7"/>
  <c r="E630" i="7"/>
  <c r="G630" i="7"/>
  <c r="H630" i="7"/>
  <c r="B632" i="7"/>
  <c r="C632" i="7"/>
  <c r="D632" i="7"/>
  <c r="E632" i="7"/>
  <c r="F633" i="7"/>
  <c r="G633" i="7"/>
  <c r="H633" i="7"/>
  <c r="I633" i="7"/>
  <c r="F634" i="7"/>
  <c r="G634" i="7"/>
  <c r="H634" i="7"/>
  <c r="I634" i="7"/>
  <c r="E635" i="7"/>
  <c r="E636" i="7"/>
  <c r="E637" i="7"/>
  <c r="G637" i="7"/>
  <c r="H637" i="7"/>
  <c r="A646" i="7"/>
  <c r="A648" i="7"/>
  <c r="B649" i="7"/>
  <c r="C649" i="7"/>
  <c r="D649" i="7"/>
  <c r="E649" i="7"/>
  <c r="F650" i="7"/>
  <c r="G650" i="7"/>
  <c r="H650" i="7"/>
  <c r="I650" i="7"/>
  <c r="E651" i="7"/>
  <c r="E652" i="7"/>
  <c r="E653" i="7"/>
  <c r="G653" i="7"/>
  <c r="H653" i="7"/>
  <c r="B655" i="7"/>
  <c r="C655" i="7"/>
  <c r="D655" i="7"/>
  <c r="E655" i="7"/>
  <c r="F656" i="7"/>
  <c r="G656" i="7"/>
  <c r="H656" i="7"/>
  <c r="I656" i="7"/>
  <c r="E657" i="7"/>
  <c r="E658" i="7"/>
  <c r="E659" i="7"/>
  <c r="G659" i="7"/>
  <c r="H659" i="7"/>
  <c r="B661" i="7"/>
  <c r="C661" i="7"/>
  <c r="D661" i="7"/>
  <c r="E661" i="7"/>
  <c r="F662" i="7"/>
  <c r="G662" i="7"/>
  <c r="H662" i="7"/>
  <c r="I662" i="7"/>
  <c r="F663" i="7"/>
  <c r="G663" i="7"/>
  <c r="H663" i="7"/>
  <c r="I663" i="7"/>
  <c r="E664" i="7"/>
  <c r="E665" i="7"/>
  <c r="E666" i="7"/>
  <c r="G666" i="7"/>
  <c r="H666" i="7"/>
  <c r="B668" i="7"/>
  <c r="C668" i="7"/>
  <c r="D668" i="7"/>
  <c r="E668" i="7"/>
  <c r="F669" i="7"/>
  <c r="G669" i="7"/>
  <c r="H669" i="7"/>
  <c r="I669" i="7"/>
  <c r="F670" i="7"/>
  <c r="G670" i="7"/>
  <c r="H670" i="7"/>
  <c r="I670" i="7"/>
  <c r="E671" i="7"/>
  <c r="E672" i="7"/>
  <c r="E673" i="7"/>
  <c r="G673" i="7"/>
  <c r="H673" i="7"/>
  <c r="B675" i="7"/>
  <c r="C675" i="7"/>
  <c r="D675" i="7"/>
  <c r="E675" i="7"/>
  <c r="F676" i="7"/>
  <c r="G676" i="7"/>
  <c r="H676" i="7"/>
  <c r="I676" i="7"/>
  <c r="F677" i="7"/>
  <c r="G677" i="7"/>
  <c r="H677" i="7"/>
  <c r="I677" i="7"/>
  <c r="E678" i="7"/>
  <c r="E679" i="7"/>
  <c r="E680" i="7"/>
  <c r="G680" i="7"/>
  <c r="H680" i="7"/>
  <c r="A686" i="7"/>
  <c r="B687" i="7"/>
  <c r="C687" i="7"/>
  <c r="D687" i="7"/>
  <c r="E687" i="7"/>
  <c r="F688" i="7"/>
  <c r="G688" i="7"/>
  <c r="H688" i="7"/>
  <c r="I688" i="7"/>
  <c r="E689" i="7"/>
  <c r="E690" i="7"/>
  <c r="E691" i="7"/>
  <c r="G691" i="7"/>
  <c r="H691" i="7"/>
  <c r="B693" i="7"/>
  <c r="C693" i="7"/>
  <c r="D693" i="7"/>
  <c r="F695" i="7"/>
  <c r="G695" i="7"/>
  <c r="H695" i="7"/>
  <c r="I695" i="7"/>
  <c r="F696" i="7"/>
  <c r="G696" i="7"/>
  <c r="H696" i="7"/>
  <c r="I696" i="7"/>
  <c r="E697" i="7"/>
  <c r="E698" i="7"/>
  <c r="E699" i="7"/>
  <c r="G699" i="7"/>
  <c r="H699" i="7"/>
  <c r="B701" i="7"/>
  <c r="C701" i="7"/>
  <c r="D701" i="7"/>
  <c r="E701" i="7"/>
  <c r="F702" i="7"/>
  <c r="G702" i="7"/>
  <c r="H702" i="7"/>
  <c r="I702" i="7"/>
  <c r="F703" i="7"/>
  <c r="G703" i="7"/>
  <c r="H703" i="7"/>
  <c r="I703" i="7"/>
  <c r="E704" i="7"/>
  <c r="E705" i="7"/>
  <c r="E706" i="7"/>
  <c r="G706" i="7"/>
  <c r="H706" i="7"/>
  <c r="B708" i="7"/>
  <c r="C708" i="7"/>
  <c r="D708" i="7"/>
  <c r="E708" i="7"/>
  <c r="F709" i="7"/>
  <c r="G709" i="7"/>
  <c r="H709" i="7"/>
  <c r="I709" i="7"/>
  <c r="F710" i="7"/>
  <c r="G710" i="7"/>
  <c r="H710" i="7"/>
  <c r="I710" i="7"/>
  <c r="E711" i="7"/>
  <c r="E712" i="7"/>
  <c r="E713" i="7"/>
  <c r="G713" i="7"/>
  <c r="H713" i="7"/>
  <c r="B715" i="7"/>
  <c r="C715" i="7"/>
  <c r="D715" i="7"/>
  <c r="E715" i="7"/>
  <c r="F716" i="7"/>
  <c r="G716" i="7"/>
  <c r="H716" i="7"/>
  <c r="I716" i="7"/>
  <c r="F717" i="7"/>
  <c r="G717" i="7"/>
  <c r="H717" i="7"/>
  <c r="I717" i="7"/>
  <c r="E718" i="7"/>
  <c r="E719" i="7"/>
  <c r="E720" i="7"/>
  <c r="G720" i="7"/>
  <c r="H720" i="7"/>
  <c r="B722" i="7"/>
  <c r="C722" i="7"/>
  <c r="D722" i="7"/>
  <c r="E722" i="7"/>
  <c r="F723" i="7"/>
  <c r="G723" i="7"/>
  <c r="H723" i="7"/>
  <c r="I723" i="7"/>
  <c r="F724" i="7"/>
  <c r="G724" i="7"/>
  <c r="H724" i="7"/>
  <c r="I724" i="7"/>
  <c r="E725" i="7"/>
  <c r="E726" i="7"/>
  <c r="E727" i="7"/>
  <c r="G727" i="7"/>
  <c r="H727" i="7"/>
  <c r="D729" i="7"/>
  <c r="E729" i="7"/>
  <c r="F730" i="7"/>
  <c r="G730" i="7"/>
  <c r="H730" i="7"/>
  <c r="I730" i="7"/>
  <c r="F731" i="7"/>
  <c r="G731" i="7"/>
  <c r="H731" i="7"/>
  <c r="I731" i="7"/>
  <c r="F732" i="7"/>
  <c r="G732" i="7"/>
  <c r="H732" i="7"/>
  <c r="I732" i="7"/>
  <c r="F733" i="7"/>
  <c r="G733" i="7"/>
  <c r="H733" i="7"/>
  <c r="I733" i="7"/>
  <c r="E734" i="7"/>
  <c r="E735" i="7"/>
  <c r="E736" i="7"/>
  <c r="E737" i="7"/>
  <c r="G737" i="7"/>
  <c r="H737" i="7"/>
  <c r="B739" i="7"/>
  <c r="C739" i="7"/>
  <c r="D739" i="7"/>
  <c r="E739" i="7"/>
  <c r="F740" i="7"/>
  <c r="G740" i="7"/>
  <c r="H740" i="7"/>
  <c r="I740" i="7"/>
  <c r="F741" i="7"/>
  <c r="G741" i="7"/>
  <c r="H741" i="7"/>
  <c r="I741" i="7"/>
  <c r="E742" i="7"/>
  <c r="E743" i="7"/>
  <c r="E744" i="7"/>
  <c r="G744" i="7"/>
  <c r="H744" i="7"/>
  <c r="B746" i="7"/>
  <c r="C746" i="7"/>
  <c r="D746" i="7"/>
  <c r="E746" i="7"/>
  <c r="F747" i="7"/>
  <c r="G747" i="7"/>
  <c r="H747" i="7"/>
  <c r="I747" i="7"/>
  <c r="E748" i="7"/>
  <c r="E749" i="7"/>
  <c r="E750" i="7"/>
  <c r="G750" i="7"/>
  <c r="H750" i="7"/>
  <c r="B752" i="7"/>
  <c r="C752" i="7"/>
  <c r="D752" i="7"/>
  <c r="E752" i="7"/>
  <c r="F753" i="7"/>
  <c r="G753" i="7"/>
  <c r="H753" i="7"/>
  <c r="I753" i="7"/>
  <c r="E754" i="7"/>
  <c r="E755" i="7"/>
  <c r="E756" i="7"/>
  <c r="G756" i="7"/>
  <c r="H756" i="7"/>
  <c r="B758" i="7"/>
  <c r="C758" i="7"/>
  <c r="D758" i="7"/>
  <c r="F760" i="7"/>
  <c r="G760" i="7"/>
  <c r="H760" i="7"/>
  <c r="I760" i="7"/>
  <c r="E761" i="7"/>
  <c r="E762" i="7"/>
  <c r="E763" i="7"/>
  <c r="G763" i="7"/>
  <c r="H763" i="7"/>
  <c r="C776" i="7"/>
  <c r="C777" i="7"/>
  <c r="C778" i="7"/>
  <c r="C781" i="7"/>
  <c r="H781" i="7"/>
  <c r="C784" i="7"/>
  <c r="H784" i="7"/>
  <c r="I790" i="8"/>
  <c r="I787" i="8"/>
  <c r="D790" i="8"/>
  <c r="D787" i="8"/>
  <c r="D784" i="8"/>
  <c r="D783" i="8"/>
  <c r="D782" i="8"/>
  <c r="I769" i="8"/>
  <c r="H769" i="8"/>
  <c r="F769" i="8"/>
  <c r="F768" i="8"/>
  <c r="F767" i="8"/>
  <c r="J766" i="8"/>
  <c r="I766" i="8"/>
  <c r="H766" i="8"/>
  <c r="G766" i="8"/>
  <c r="E764" i="8"/>
  <c r="D764" i="8"/>
  <c r="C764" i="8"/>
  <c r="I762" i="8"/>
  <c r="H762" i="8"/>
  <c r="F762" i="8"/>
  <c r="F761" i="8"/>
  <c r="F760" i="8"/>
  <c r="J759" i="8"/>
  <c r="I759" i="8"/>
  <c r="H759" i="8"/>
  <c r="G759" i="8"/>
  <c r="F758" i="8"/>
  <c r="E758" i="8"/>
  <c r="D758" i="8"/>
  <c r="C758" i="8"/>
  <c r="I756" i="8"/>
  <c r="H756" i="8"/>
  <c r="F756" i="8"/>
  <c r="F755" i="8"/>
  <c r="F754" i="8"/>
  <c r="J753" i="8"/>
  <c r="I753" i="8"/>
  <c r="H753" i="8"/>
  <c r="G753" i="8"/>
  <c r="F752" i="8"/>
  <c r="E752" i="8"/>
  <c r="D752" i="8"/>
  <c r="C752" i="8"/>
  <c r="I750" i="8"/>
  <c r="H750" i="8"/>
  <c r="F750" i="8"/>
  <c r="F749" i="8"/>
  <c r="F748" i="8"/>
  <c r="J747" i="8"/>
  <c r="I747" i="8"/>
  <c r="H747" i="8"/>
  <c r="G747" i="8"/>
  <c r="J746" i="8"/>
  <c r="I746" i="8"/>
  <c r="H746" i="8"/>
  <c r="G746" i="8"/>
  <c r="F745" i="8"/>
  <c r="E745" i="8"/>
  <c r="D745" i="8"/>
  <c r="C745" i="8"/>
  <c r="I743" i="8"/>
  <c r="H743" i="8"/>
  <c r="F743" i="8"/>
  <c r="F742" i="8"/>
  <c r="F741" i="8"/>
  <c r="F740" i="8"/>
  <c r="J739" i="8"/>
  <c r="I739" i="8"/>
  <c r="H739" i="8"/>
  <c r="G739" i="8"/>
  <c r="J738" i="8"/>
  <c r="I738" i="8"/>
  <c r="H738" i="8"/>
  <c r="G738" i="8"/>
  <c r="J737" i="8"/>
  <c r="I737" i="8"/>
  <c r="H737" i="8"/>
  <c r="G737" i="8"/>
  <c r="J736" i="8"/>
  <c r="I736" i="8"/>
  <c r="H736" i="8"/>
  <c r="G736" i="8"/>
  <c r="F735" i="8"/>
  <c r="E735" i="8"/>
  <c r="I733" i="8"/>
  <c r="H733" i="8"/>
  <c r="F733" i="8"/>
  <c r="F732" i="8"/>
  <c r="F731" i="8"/>
  <c r="J730" i="8"/>
  <c r="I730" i="8"/>
  <c r="H730" i="8"/>
  <c r="G730" i="8"/>
  <c r="J729" i="8"/>
  <c r="I729" i="8"/>
  <c r="H729" i="8"/>
  <c r="G729" i="8"/>
  <c r="F728" i="8"/>
  <c r="E728" i="8"/>
  <c r="D728" i="8"/>
  <c r="C728" i="8"/>
  <c r="I726" i="8"/>
  <c r="H726" i="8"/>
  <c r="F726" i="8"/>
  <c r="F725" i="8"/>
  <c r="F724" i="8"/>
  <c r="J723" i="8"/>
  <c r="I723" i="8"/>
  <c r="H723" i="8"/>
  <c r="G723" i="8"/>
  <c r="J722" i="8"/>
  <c r="I722" i="8"/>
  <c r="H722" i="8"/>
  <c r="G722" i="8"/>
  <c r="F721" i="8"/>
  <c r="E721" i="8"/>
  <c r="D721" i="8"/>
  <c r="C721" i="8"/>
  <c r="I719" i="8"/>
  <c r="H719" i="8"/>
  <c r="F719" i="8"/>
  <c r="F718" i="8"/>
  <c r="F717" i="8"/>
  <c r="J716" i="8"/>
  <c r="I716" i="8"/>
  <c r="H716" i="8"/>
  <c r="G716" i="8"/>
  <c r="J715" i="8"/>
  <c r="I715" i="8"/>
  <c r="H715" i="8"/>
  <c r="G715" i="8"/>
  <c r="F714" i="8"/>
  <c r="E714" i="8"/>
  <c r="D714" i="8"/>
  <c r="C714" i="8"/>
  <c r="I712" i="8"/>
  <c r="H712" i="8"/>
  <c r="F712" i="8"/>
  <c r="F711" i="8"/>
  <c r="F710" i="8"/>
  <c r="J709" i="8"/>
  <c r="I709" i="8"/>
  <c r="H709" i="8"/>
  <c r="G709" i="8"/>
  <c r="J708" i="8"/>
  <c r="I708" i="8"/>
  <c r="H708" i="8"/>
  <c r="G708" i="8"/>
  <c r="F707" i="8"/>
  <c r="E707" i="8"/>
  <c r="D707" i="8"/>
  <c r="C707" i="8"/>
  <c r="I705" i="8"/>
  <c r="H705" i="8"/>
  <c r="F705" i="8"/>
  <c r="F704" i="8"/>
  <c r="F703" i="8"/>
  <c r="J702" i="8"/>
  <c r="I702" i="8"/>
  <c r="H702" i="8"/>
  <c r="G702" i="8"/>
  <c r="J701" i="8"/>
  <c r="I701" i="8"/>
  <c r="H701" i="8"/>
  <c r="G701" i="8"/>
  <c r="E699" i="8"/>
  <c r="D699" i="8"/>
  <c r="C699" i="8"/>
  <c r="I697" i="8"/>
  <c r="H697" i="8"/>
  <c r="F697" i="8"/>
  <c r="F696" i="8"/>
  <c r="F695" i="8"/>
  <c r="J694" i="8"/>
  <c r="I694" i="8"/>
  <c r="H694" i="8"/>
  <c r="G694" i="8"/>
  <c r="F693" i="8"/>
  <c r="E693" i="8"/>
  <c r="D693" i="8"/>
  <c r="C693" i="8"/>
  <c r="A692" i="8"/>
  <c r="I686" i="8"/>
  <c r="H686" i="8"/>
  <c r="F686" i="8"/>
  <c r="F685" i="8"/>
  <c r="F684" i="8"/>
  <c r="J683" i="8"/>
  <c r="I683" i="8"/>
  <c r="H683" i="8"/>
  <c r="G683" i="8"/>
  <c r="J682" i="8"/>
  <c r="I682" i="8"/>
  <c r="H682" i="8"/>
  <c r="G682" i="8"/>
  <c r="F681" i="8"/>
  <c r="E681" i="8"/>
  <c r="D681" i="8"/>
  <c r="C681" i="8"/>
  <c r="I679" i="8"/>
  <c r="H679" i="8"/>
  <c r="F679" i="8"/>
  <c r="F678" i="8"/>
  <c r="F677" i="8"/>
  <c r="J676" i="8"/>
  <c r="I676" i="8"/>
  <c r="H676" i="8"/>
  <c r="G676" i="8"/>
  <c r="J675" i="8"/>
  <c r="I675" i="8"/>
  <c r="H675" i="8"/>
  <c r="G675" i="8"/>
  <c r="F674" i="8"/>
  <c r="E674" i="8"/>
  <c r="D674" i="8"/>
  <c r="C674" i="8"/>
  <c r="I672" i="8"/>
  <c r="H672" i="8"/>
  <c r="F672" i="8"/>
  <c r="F671" i="8"/>
  <c r="F670" i="8"/>
  <c r="J669" i="8"/>
  <c r="I669" i="8"/>
  <c r="H669" i="8"/>
  <c r="G669" i="8"/>
  <c r="J668" i="8"/>
  <c r="I668" i="8"/>
  <c r="H668" i="8"/>
  <c r="G668" i="8"/>
  <c r="F667" i="8"/>
  <c r="E667" i="8"/>
  <c r="D667" i="8"/>
  <c r="C667" i="8"/>
  <c r="I665" i="8"/>
  <c r="H665" i="8"/>
  <c r="F665" i="8"/>
  <c r="F664" i="8"/>
  <c r="F663" i="8"/>
  <c r="J662" i="8"/>
  <c r="I662" i="8"/>
  <c r="H662" i="8"/>
  <c r="G662" i="8"/>
  <c r="F661" i="8"/>
  <c r="E661" i="8"/>
  <c r="D661" i="8"/>
  <c r="C661" i="8"/>
  <c r="I659" i="8"/>
  <c r="H659" i="8"/>
  <c r="F659" i="8"/>
  <c r="F658" i="8"/>
  <c r="F657" i="8"/>
  <c r="J656" i="8"/>
  <c r="I656" i="8"/>
  <c r="H656" i="8"/>
  <c r="G656" i="8"/>
  <c r="F655" i="8"/>
  <c r="E655" i="8"/>
  <c r="D655" i="8"/>
  <c r="C655" i="8"/>
  <c r="A654" i="8"/>
  <c r="A652" i="8"/>
  <c r="I643" i="8"/>
  <c r="H643" i="8"/>
  <c r="F643" i="8"/>
  <c r="F642" i="8"/>
  <c r="F641" i="8"/>
  <c r="J640" i="8"/>
  <c r="I640" i="8"/>
  <c r="H640" i="8"/>
  <c r="G640" i="8"/>
  <c r="J639" i="8"/>
  <c r="I639" i="8"/>
  <c r="H639" i="8"/>
  <c r="G639" i="8"/>
  <c r="F638" i="8"/>
  <c r="E638" i="8"/>
  <c r="D638" i="8"/>
  <c r="C638" i="8"/>
  <c r="I636" i="8"/>
  <c r="H636" i="8"/>
  <c r="F636" i="8"/>
  <c r="F635" i="8"/>
  <c r="F634" i="8"/>
  <c r="J633" i="8"/>
  <c r="I633" i="8"/>
  <c r="H633" i="8"/>
  <c r="G633" i="8"/>
  <c r="J632" i="8"/>
  <c r="I632" i="8"/>
  <c r="H632" i="8"/>
  <c r="G632" i="8"/>
  <c r="F631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J625" i="8"/>
  <c r="I625" i="8"/>
  <c r="H625" i="8"/>
  <c r="G625" i="8"/>
  <c r="E623" i="8"/>
  <c r="D623" i="8"/>
  <c r="C623" i="8"/>
  <c r="I621" i="8"/>
  <c r="H621" i="8"/>
  <c r="F621" i="8"/>
  <c r="F620" i="8"/>
  <c r="F619" i="8"/>
  <c r="J618" i="8"/>
  <c r="I618" i="8"/>
  <c r="H618" i="8"/>
  <c r="G618" i="8"/>
  <c r="J617" i="8"/>
  <c r="I617" i="8"/>
  <c r="H617" i="8"/>
  <c r="G617" i="8"/>
  <c r="F616" i="8"/>
  <c r="E616" i="8"/>
  <c r="D616" i="8"/>
  <c r="C616" i="8"/>
  <c r="A615" i="8"/>
  <c r="I609" i="8"/>
  <c r="H609" i="8"/>
  <c r="F609" i="8"/>
  <c r="F608" i="8"/>
  <c r="F607" i="8"/>
  <c r="J606" i="8"/>
  <c r="I606" i="8"/>
  <c r="H606" i="8"/>
  <c r="G606" i="8"/>
  <c r="J605" i="8"/>
  <c r="I605" i="8"/>
  <c r="H605" i="8"/>
  <c r="G605" i="8"/>
  <c r="E603" i="8"/>
  <c r="D603" i="8"/>
  <c r="C603" i="8"/>
  <c r="A602" i="8"/>
  <c r="I596" i="8"/>
  <c r="H596" i="8"/>
  <c r="F596" i="8"/>
  <c r="F595" i="8"/>
  <c r="F594" i="8"/>
  <c r="J593" i="8"/>
  <c r="I593" i="8"/>
  <c r="H593" i="8"/>
  <c r="G593" i="8"/>
  <c r="J592" i="8"/>
  <c r="I592" i="8"/>
  <c r="H592" i="8"/>
  <c r="G592" i="8"/>
  <c r="E590" i="8"/>
  <c r="D590" i="8"/>
  <c r="C590" i="8"/>
  <c r="I588" i="8"/>
  <c r="H588" i="8"/>
  <c r="F588" i="8"/>
  <c r="F587" i="8"/>
  <c r="F586" i="8"/>
  <c r="J585" i="8"/>
  <c r="I585" i="8"/>
  <c r="H585" i="8"/>
  <c r="G585" i="8"/>
  <c r="J584" i="8"/>
  <c r="I584" i="8"/>
  <c r="H584" i="8"/>
  <c r="G584" i="8"/>
  <c r="F583" i="8"/>
  <c r="E583" i="8"/>
  <c r="D583" i="8"/>
  <c r="C583" i="8"/>
  <c r="I581" i="8"/>
  <c r="H581" i="8"/>
  <c r="F581" i="8"/>
  <c r="F580" i="8"/>
  <c r="F579" i="8"/>
  <c r="J578" i="8"/>
  <c r="I578" i="8"/>
  <c r="H578" i="8"/>
  <c r="G578" i="8"/>
  <c r="F577" i="8"/>
  <c r="E577" i="8"/>
  <c r="D577" i="8"/>
  <c r="C577" i="8"/>
  <c r="I575" i="8"/>
  <c r="H575" i="8"/>
  <c r="F575" i="8"/>
  <c r="F574" i="8"/>
  <c r="F573" i="8"/>
  <c r="J572" i="8"/>
  <c r="I572" i="8"/>
  <c r="H572" i="8"/>
  <c r="G572" i="8"/>
  <c r="F571" i="8"/>
  <c r="E571" i="8"/>
  <c r="D571" i="8"/>
  <c r="C571" i="8"/>
  <c r="C570" i="8"/>
  <c r="I567" i="8"/>
  <c r="H567" i="8"/>
  <c r="F567" i="8"/>
  <c r="F566" i="8"/>
  <c r="F565" i="8"/>
  <c r="J564" i="8"/>
  <c r="I564" i="8"/>
  <c r="H564" i="8"/>
  <c r="G564" i="8"/>
  <c r="J563" i="8"/>
  <c r="I563" i="8"/>
  <c r="H563" i="8"/>
  <c r="G563" i="8"/>
  <c r="E561" i="8"/>
  <c r="D561" i="8"/>
  <c r="C561" i="8"/>
  <c r="I559" i="8"/>
  <c r="H559" i="8"/>
  <c r="F559" i="8"/>
  <c r="F558" i="8"/>
  <c r="F557" i="8"/>
  <c r="J556" i="8"/>
  <c r="I556" i="8"/>
  <c r="H556" i="8"/>
  <c r="G556" i="8"/>
  <c r="J555" i="8"/>
  <c r="I555" i="8"/>
  <c r="H555" i="8"/>
  <c r="G555" i="8"/>
  <c r="E553" i="8"/>
  <c r="D553" i="8"/>
  <c r="C553" i="8"/>
  <c r="I551" i="8"/>
  <c r="H551" i="8"/>
  <c r="F551" i="8"/>
  <c r="F550" i="8"/>
  <c r="F549" i="8"/>
  <c r="J548" i="8"/>
  <c r="I548" i="8"/>
  <c r="H548" i="8"/>
  <c r="G548" i="8"/>
  <c r="J547" i="8"/>
  <c r="I547" i="8"/>
  <c r="H547" i="8"/>
  <c r="G547" i="8"/>
  <c r="E545" i="8"/>
  <c r="D545" i="8"/>
  <c r="C545" i="8"/>
  <c r="I543" i="8"/>
  <c r="H543" i="8"/>
  <c r="F543" i="8"/>
  <c r="F542" i="8"/>
  <c r="F541" i="8"/>
  <c r="J540" i="8"/>
  <c r="I540" i="8"/>
  <c r="H540" i="8"/>
  <c r="G540" i="8"/>
  <c r="J539" i="8"/>
  <c r="I539" i="8"/>
  <c r="H539" i="8"/>
  <c r="G539" i="8"/>
  <c r="E537" i="8"/>
  <c r="D537" i="8"/>
  <c r="C537" i="8"/>
  <c r="I535" i="8"/>
  <c r="H535" i="8"/>
  <c r="F535" i="8"/>
  <c r="F534" i="8"/>
  <c r="F533" i="8"/>
  <c r="J532" i="8"/>
  <c r="I532" i="8"/>
  <c r="H532" i="8"/>
  <c r="G532" i="8"/>
  <c r="J531" i="8"/>
  <c r="I531" i="8"/>
  <c r="H531" i="8"/>
  <c r="G531" i="8"/>
  <c r="E529" i="8"/>
  <c r="D529" i="8"/>
  <c r="C529" i="8"/>
  <c r="I527" i="8"/>
  <c r="H527" i="8"/>
  <c r="F527" i="8"/>
  <c r="F526" i="8"/>
  <c r="F525" i="8"/>
  <c r="J524" i="8"/>
  <c r="I524" i="8"/>
  <c r="H524" i="8"/>
  <c r="G524" i="8"/>
  <c r="J523" i="8"/>
  <c r="I523" i="8"/>
  <c r="H523" i="8"/>
  <c r="G523" i="8"/>
  <c r="E521" i="8"/>
  <c r="D521" i="8"/>
  <c r="C521" i="8"/>
  <c r="I519" i="8"/>
  <c r="H519" i="8"/>
  <c r="F519" i="8"/>
  <c r="F518" i="8"/>
  <c r="F517" i="8"/>
  <c r="J516" i="8"/>
  <c r="I516" i="8"/>
  <c r="H516" i="8"/>
  <c r="G516" i="8"/>
  <c r="J515" i="8"/>
  <c r="I515" i="8"/>
  <c r="H515" i="8"/>
  <c r="G515" i="8"/>
  <c r="E513" i="8"/>
  <c r="D513" i="8"/>
  <c r="C513" i="8"/>
  <c r="A512" i="8"/>
  <c r="I506" i="8"/>
  <c r="H506" i="8"/>
  <c r="F506" i="8"/>
  <c r="F505" i="8"/>
  <c r="F504" i="8"/>
  <c r="J503" i="8"/>
  <c r="I503" i="8"/>
  <c r="H503" i="8"/>
  <c r="G503" i="8"/>
  <c r="J502" i="8"/>
  <c r="I502" i="8"/>
  <c r="H502" i="8"/>
  <c r="G502" i="8"/>
  <c r="E500" i="8"/>
  <c r="D500" i="8"/>
  <c r="C500" i="8"/>
  <c r="I498" i="8"/>
  <c r="H498" i="8"/>
  <c r="F498" i="8"/>
  <c r="F497" i="8"/>
  <c r="F496" i="8"/>
  <c r="J495" i="8"/>
  <c r="I495" i="8"/>
  <c r="H495" i="8"/>
  <c r="G495" i="8"/>
  <c r="J494" i="8"/>
  <c r="I494" i="8"/>
  <c r="H494" i="8"/>
  <c r="G494" i="8"/>
  <c r="E492" i="8"/>
  <c r="D492" i="8"/>
  <c r="C492" i="8"/>
  <c r="I490" i="8"/>
  <c r="H490" i="8"/>
  <c r="F490" i="8"/>
  <c r="F489" i="8"/>
  <c r="F488" i="8"/>
  <c r="J487" i="8"/>
  <c r="I487" i="8"/>
  <c r="H487" i="8"/>
  <c r="G487" i="8"/>
  <c r="J486" i="8"/>
  <c r="I486" i="8"/>
  <c r="H486" i="8"/>
  <c r="G486" i="8"/>
  <c r="E484" i="8"/>
  <c r="I482" i="8"/>
  <c r="H482" i="8"/>
  <c r="F482" i="8"/>
  <c r="F481" i="8"/>
  <c r="F480" i="8"/>
  <c r="J479" i="8"/>
  <c r="I479" i="8"/>
  <c r="H479" i="8"/>
  <c r="G479" i="8"/>
  <c r="J478" i="8"/>
  <c r="I478" i="8"/>
  <c r="H478" i="8"/>
  <c r="G478" i="8"/>
  <c r="E476" i="8"/>
  <c r="D476" i="8"/>
  <c r="C476" i="8"/>
  <c r="I474" i="8"/>
  <c r="H474" i="8"/>
  <c r="F474" i="8"/>
  <c r="F473" i="8"/>
  <c r="F472" i="8"/>
  <c r="J471" i="8"/>
  <c r="I471" i="8"/>
  <c r="H471" i="8"/>
  <c r="G471" i="8"/>
  <c r="J470" i="8"/>
  <c r="I470" i="8"/>
  <c r="H470" i="8"/>
  <c r="G470" i="8"/>
  <c r="E468" i="8"/>
  <c r="A467" i="8"/>
  <c r="J464" i="8"/>
  <c r="A462" i="8"/>
  <c r="I456" i="8"/>
  <c r="H456" i="8"/>
  <c r="F456" i="8"/>
  <c r="F455" i="8"/>
  <c r="F454" i="8"/>
  <c r="J453" i="8"/>
  <c r="I453" i="8"/>
  <c r="H453" i="8"/>
  <c r="G453" i="8"/>
  <c r="J452" i="8"/>
  <c r="I452" i="8"/>
  <c r="H452" i="8"/>
  <c r="G452" i="8"/>
  <c r="E450" i="8"/>
  <c r="D450" i="8"/>
  <c r="C450" i="8"/>
  <c r="I448" i="8"/>
  <c r="H448" i="8"/>
  <c r="F448" i="8"/>
  <c r="F447" i="8"/>
  <c r="F446" i="8"/>
  <c r="J445" i="8"/>
  <c r="I445" i="8"/>
  <c r="H445" i="8"/>
  <c r="G445" i="8"/>
  <c r="J444" i="8"/>
  <c r="I444" i="8"/>
  <c r="H444" i="8"/>
  <c r="G444" i="8"/>
  <c r="F443" i="8"/>
  <c r="E443" i="8"/>
  <c r="D443" i="8"/>
  <c r="C443" i="8"/>
  <c r="I441" i="8"/>
  <c r="H441" i="8"/>
  <c r="F441" i="8"/>
  <c r="F440" i="8"/>
  <c r="F439" i="8"/>
  <c r="J438" i="8"/>
  <c r="I438" i="8"/>
  <c r="H438" i="8"/>
  <c r="G438" i="8"/>
  <c r="F437" i="8"/>
  <c r="E437" i="8"/>
  <c r="D437" i="8"/>
  <c r="C437" i="8"/>
  <c r="I435" i="8"/>
  <c r="H435" i="8"/>
  <c r="F435" i="8"/>
  <c r="F434" i="8"/>
  <c r="F433" i="8"/>
  <c r="J432" i="8"/>
  <c r="I432" i="8"/>
  <c r="H432" i="8"/>
  <c r="G432" i="8"/>
  <c r="J431" i="8"/>
  <c r="I431" i="8"/>
  <c r="H431" i="8"/>
  <c r="G431" i="8"/>
  <c r="F430" i="8"/>
  <c r="E430" i="8"/>
  <c r="D430" i="8"/>
  <c r="C430" i="8"/>
  <c r="I428" i="8"/>
  <c r="H428" i="8"/>
  <c r="F428" i="8"/>
  <c r="F427" i="8"/>
  <c r="F426" i="8"/>
  <c r="J425" i="8"/>
  <c r="I425" i="8"/>
  <c r="H425" i="8"/>
  <c r="G425" i="8"/>
  <c r="J424" i="8"/>
  <c r="I424" i="8"/>
  <c r="H424" i="8"/>
  <c r="G424" i="8"/>
  <c r="E422" i="8"/>
  <c r="D422" i="8"/>
  <c r="C422" i="8"/>
  <c r="I420" i="8"/>
  <c r="H420" i="8"/>
  <c r="F420" i="8"/>
  <c r="F419" i="8"/>
  <c r="F418" i="8"/>
  <c r="J417" i="8"/>
  <c r="I417" i="8"/>
  <c r="H417" i="8"/>
  <c r="G417" i="8"/>
  <c r="J416" i="8"/>
  <c r="I416" i="8"/>
  <c r="H416" i="8"/>
  <c r="G416" i="8"/>
  <c r="F415" i="8"/>
  <c r="E415" i="8"/>
  <c r="D415" i="8"/>
  <c r="C415" i="8"/>
  <c r="I413" i="8"/>
  <c r="H413" i="8"/>
  <c r="F413" i="8"/>
  <c r="F412" i="8"/>
  <c r="F411" i="8"/>
  <c r="J410" i="8"/>
  <c r="I410" i="8"/>
  <c r="H410" i="8"/>
  <c r="G410" i="8"/>
  <c r="J409" i="8"/>
  <c r="I409" i="8"/>
  <c r="H409" i="8"/>
  <c r="G409" i="8"/>
  <c r="F408" i="8"/>
  <c r="E408" i="8"/>
  <c r="D408" i="8"/>
  <c r="C408" i="8"/>
  <c r="I406" i="8"/>
  <c r="H406" i="8"/>
  <c r="F406" i="8"/>
  <c r="F405" i="8"/>
  <c r="F404" i="8"/>
  <c r="J403" i="8"/>
  <c r="I403" i="8"/>
  <c r="H403" i="8"/>
  <c r="G403" i="8"/>
  <c r="J402" i="8"/>
  <c r="I402" i="8"/>
  <c r="H402" i="8"/>
  <c r="G402" i="8"/>
  <c r="F401" i="8"/>
  <c r="E401" i="8"/>
  <c r="D401" i="8"/>
  <c r="C401" i="8"/>
  <c r="A400" i="8"/>
  <c r="A398" i="8"/>
  <c r="I392" i="8"/>
  <c r="H392" i="8"/>
  <c r="F392" i="8"/>
  <c r="F391" i="8"/>
  <c r="F390" i="8"/>
  <c r="F389" i="8"/>
  <c r="J388" i="8"/>
  <c r="I388" i="8"/>
  <c r="H388" i="8"/>
  <c r="G388" i="8"/>
  <c r="J387" i="8"/>
  <c r="I387" i="8"/>
  <c r="H387" i="8"/>
  <c r="G387" i="8"/>
  <c r="J386" i="8"/>
  <c r="I386" i="8"/>
  <c r="H386" i="8"/>
  <c r="G386" i="8"/>
  <c r="J385" i="8"/>
  <c r="I385" i="8"/>
  <c r="H385" i="8"/>
  <c r="G385" i="8"/>
  <c r="F384" i="8"/>
  <c r="E384" i="8"/>
  <c r="D384" i="8"/>
  <c r="C384" i="8"/>
  <c r="I382" i="8"/>
  <c r="H382" i="8"/>
  <c r="F382" i="8"/>
  <c r="F381" i="8"/>
  <c r="F380" i="8"/>
  <c r="J379" i="8"/>
  <c r="I379" i="8"/>
  <c r="H379" i="8"/>
  <c r="G379" i="8"/>
  <c r="J378" i="8"/>
  <c r="I378" i="8"/>
  <c r="H378" i="8"/>
  <c r="G378" i="8"/>
  <c r="F377" i="8"/>
  <c r="E377" i="8"/>
  <c r="D377" i="8"/>
  <c r="C377" i="8"/>
  <c r="I375" i="8"/>
  <c r="H375" i="8"/>
  <c r="F375" i="8"/>
  <c r="F374" i="8"/>
  <c r="F373" i="8"/>
  <c r="J372" i="8"/>
  <c r="I372" i="8"/>
  <c r="H372" i="8"/>
  <c r="G372" i="8"/>
  <c r="J371" i="8"/>
  <c r="I371" i="8"/>
  <c r="H371" i="8"/>
  <c r="G371" i="8"/>
  <c r="F370" i="8"/>
  <c r="E370" i="8"/>
  <c r="D370" i="8"/>
  <c r="C370" i="8"/>
  <c r="I368" i="8"/>
  <c r="H368" i="8"/>
  <c r="F368" i="8"/>
  <c r="F367" i="8"/>
  <c r="F366" i="8"/>
  <c r="F365" i="8"/>
  <c r="J364" i="8"/>
  <c r="I364" i="8"/>
  <c r="H364" i="8"/>
  <c r="G364" i="8"/>
  <c r="J363" i="8"/>
  <c r="I363" i="8"/>
  <c r="H363" i="8"/>
  <c r="G363" i="8"/>
  <c r="J362" i="8"/>
  <c r="I362" i="8"/>
  <c r="H362" i="8"/>
  <c r="G362" i="8"/>
  <c r="J361" i="8"/>
  <c r="I361" i="8"/>
  <c r="H361" i="8"/>
  <c r="G361" i="8"/>
  <c r="F360" i="8"/>
  <c r="E360" i="8"/>
  <c r="D360" i="8"/>
  <c r="C360" i="8"/>
  <c r="I358" i="8"/>
  <c r="H358" i="8"/>
  <c r="F358" i="8"/>
  <c r="F357" i="8"/>
  <c r="F356" i="8"/>
  <c r="F355" i="8"/>
  <c r="J354" i="8"/>
  <c r="I354" i="8"/>
  <c r="H354" i="8"/>
  <c r="G354" i="8"/>
  <c r="J353" i="8"/>
  <c r="I353" i="8"/>
  <c r="H353" i="8"/>
  <c r="G353" i="8"/>
  <c r="J352" i="8"/>
  <c r="I352" i="8"/>
  <c r="H352" i="8"/>
  <c r="G352" i="8"/>
  <c r="J351" i="8"/>
  <c r="I351" i="8"/>
  <c r="H351" i="8"/>
  <c r="G351" i="8"/>
  <c r="F350" i="8"/>
  <c r="E350" i="8"/>
  <c r="D350" i="8"/>
  <c r="C350" i="8"/>
  <c r="A349" i="8"/>
  <c r="I340" i="8"/>
  <c r="H340" i="8"/>
  <c r="F340" i="8"/>
  <c r="F339" i="8"/>
  <c r="F338" i="8"/>
  <c r="J337" i="8"/>
  <c r="I337" i="8"/>
  <c r="H337" i="8"/>
  <c r="G337" i="8"/>
  <c r="E335" i="8"/>
  <c r="D335" i="8"/>
  <c r="C335" i="8"/>
  <c r="I333" i="8"/>
  <c r="H333" i="8"/>
  <c r="F333" i="8"/>
  <c r="F332" i="8"/>
  <c r="F331" i="8"/>
  <c r="J330" i="8"/>
  <c r="I330" i="8"/>
  <c r="G330" i="8"/>
  <c r="E330" i="8"/>
  <c r="D330" i="8"/>
  <c r="C330" i="8"/>
  <c r="J329" i="8"/>
  <c r="I329" i="8"/>
  <c r="H329" i="8"/>
  <c r="G329" i="8"/>
  <c r="J328" i="8"/>
  <c r="I328" i="8"/>
  <c r="H328" i="8"/>
  <c r="G328" i="8"/>
  <c r="E326" i="8"/>
  <c r="D326" i="8"/>
  <c r="C326" i="8"/>
  <c r="I324" i="8"/>
  <c r="H324" i="8"/>
  <c r="F324" i="8"/>
  <c r="F323" i="8"/>
  <c r="F322" i="8"/>
  <c r="J321" i="8"/>
  <c r="I321" i="8"/>
  <c r="H321" i="8"/>
  <c r="G321" i="8"/>
  <c r="J320" i="8"/>
  <c r="I320" i="8"/>
  <c r="H320" i="8"/>
  <c r="G320" i="8"/>
  <c r="E318" i="8"/>
  <c r="D318" i="8"/>
  <c r="C318" i="8"/>
  <c r="I316" i="8"/>
  <c r="H316" i="8"/>
  <c r="F316" i="8"/>
  <c r="F315" i="8"/>
  <c r="F314" i="8"/>
  <c r="J313" i="8"/>
  <c r="I313" i="8"/>
  <c r="H313" i="8"/>
  <c r="G313" i="8"/>
  <c r="E311" i="8"/>
  <c r="D311" i="8"/>
  <c r="C311" i="8"/>
  <c r="I309" i="8"/>
  <c r="H309" i="8"/>
  <c r="F309" i="8"/>
  <c r="F308" i="8"/>
  <c r="F307" i="8"/>
  <c r="J306" i="8"/>
  <c r="I306" i="8"/>
  <c r="H306" i="8"/>
  <c r="G306" i="8"/>
  <c r="J305" i="8"/>
  <c r="I305" i="8"/>
  <c r="H305" i="8"/>
  <c r="G305" i="8"/>
  <c r="F304" i="8"/>
  <c r="E304" i="8"/>
  <c r="D304" i="8"/>
  <c r="C304" i="8"/>
  <c r="I302" i="8"/>
  <c r="H302" i="8"/>
  <c r="F302" i="8"/>
  <c r="F301" i="8"/>
  <c r="F300" i="8"/>
  <c r="F299" i="8"/>
  <c r="J298" i="8"/>
  <c r="I298" i="8"/>
  <c r="H298" i="8"/>
  <c r="G298" i="8"/>
  <c r="J297" i="8"/>
  <c r="I297" i="8"/>
  <c r="H297" i="8"/>
  <c r="G297" i="8"/>
  <c r="J296" i="8"/>
  <c r="I296" i="8"/>
  <c r="H296" i="8"/>
  <c r="G296" i="8"/>
  <c r="J295" i="8"/>
  <c r="I295" i="8"/>
  <c r="H295" i="8"/>
  <c r="G295" i="8"/>
  <c r="F294" i="8"/>
  <c r="E294" i="8"/>
  <c r="D294" i="8"/>
  <c r="C294" i="8"/>
  <c r="I292" i="8"/>
  <c r="H292" i="8"/>
  <c r="F292" i="8"/>
  <c r="F291" i="8"/>
  <c r="F290" i="8"/>
  <c r="J289" i="8"/>
  <c r="I289" i="8"/>
  <c r="H289" i="8"/>
  <c r="G289" i="8"/>
  <c r="J288" i="8"/>
  <c r="I288" i="8"/>
  <c r="H288" i="8"/>
  <c r="G288" i="8"/>
  <c r="F287" i="8"/>
  <c r="E287" i="8"/>
  <c r="D287" i="8"/>
  <c r="C287" i="8"/>
  <c r="I285" i="8"/>
  <c r="H285" i="8"/>
  <c r="F285" i="8"/>
  <c r="F284" i="8"/>
  <c r="F283" i="8"/>
  <c r="J282" i="8"/>
  <c r="I282" i="8"/>
  <c r="H282" i="8"/>
  <c r="G282" i="8"/>
  <c r="E280" i="8"/>
  <c r="D280" i="8"/>
  <c r="C280" i="8"/>
  <c r="I278" i="8"/>
  <c r="H278" i="8"/>
  <c r="F278" i="8"/>
  <c r="F277" i="8"/>
  <c r="F276" i="8"/>
  <c r="J275" i="8"/>
  <c r="I275" i="8"/>
  <c r="H275" i="8"/>
  <c r="G275" i="8"/>
  <c r="J274" i="8"/>
  <c r="I274" i="8"/>
  <c r="H274" i="8"/>
  <c r="G274" i="8"/>
  <c r="E272" i="8"/>
  <c r="D272" i="8"/>
  <c r="C272" i="8"/>
  <c r="I270" i="8"/>
  <c r="H270" i="8"/>
  <c r="F270" i="8"/>
  <c r="F269" i="8"/>
  <c r="F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F261" i="8"/>
  <c r="J260" i="8"/>
  <c r="I260" i="8"/>
  <c r="H260" i="8"/>
  <c r="G260" i="8"/>
  <c r="J259" i="8"/>
  <c r="I259" i="8"/>
  <c r="H259" i="8"/>
  <c r="G259" i="8"/>
  <c r="J258" i="8"/>
  <c r="I258" i="8"/>
  <c r="H258" i="8"/>
  <c r="G258" i="8"/>
  <c r="F257" i="8"/>
  <c r="E257" i="8"/>
  <c r="D257" i="8"/>
  <c r="C257" i="8"/>
  <c r="C256" i="8"/>
  <c r="I253" i="8"/>
  <c r="H253" i="8"/>
  <c r="F253" i="8"/>
  <c r="F252" i="8"/>
  <c r="F251" i="8"/>
  <c r="J250" i="8"/>
  <c r="I250" i="8"/>
  <c r="G250" i="8"/>
  <c r="E250" i="8"/>
  <c r="D250" i="8"/>
  <c r="C250" i="8"/>
  <c r="J249" i="8"/>
  <c r="I249" i="8"/>
  <c r="H249" i="8"/>
  <c r="G249" i="8"/>
  <c r="J248" i="8"/>
  <c r="I248" i="8"/>
  <c r="H248" i="8"/>
  <c r="G248" i="8"/>
  <c r="E246" i="8"/>
  <c r="D246" i="8"/>
  <c r="C246" i="8"/>
  <c r="I244" i="8"/>
  <c r="H244" i="8"/>
  <c r="F244" i="8"/>
  <c r="F243" i="8"/>
  <c r="F242" i="8"/>
  <c r="J241" i="8"/>
  <c r="I241" i="8"/>
  <c r="H241" i="8"/>
  <c r="G241" i="8"/>
  <c r="E239" i="8"/>
  <c r="D239" i="8"/>
  <c r="C239" i="8"/>
  <c r="I237" i="8"/>
  <c r="H237" i="8"/>
  <c r="F237" i="8"/>
  <c r="F236" i="8"/>
  <c r="F235" i="8"/>
  <c r="J234" i="8"/>
  <c r="I234" i="8"/>
  <c r="H234" i="8"/>
  <c r="G234" i="8"/>
  <c r="J233" i="8"/>
  <c r="I233" i="8"/>
  <c r="H233" i="8"/>
  <c r="G233" i="8"/>
  <c r="E231" i="8"/>
  <c r="D231" i="8"/>
  <c r="C231" i="8"/>
  <c r="I229" i="8"/>
  <c r="H229" i="8"/>
  <c r="F229" i="8"/>
  <c r="F228" i="8"/>
  <c r="F227" i="8"/>
  <c r="J226" i="8"/>
  <c r="I226" i="8"/>
  <c r="H226" i="8"/>
  <c r="G226" i="8"/>
  <c r="E224" i="8"/>
  <c r="D224" i="8"/>
  <c r="C224" i="8"/>
  <c r="I222" i="8"/>
  <c r="H222" i="8"/>
  <c r="F222" i="8"/>
  <c r="F221" i="8"/>
  <c r="F220" i="8"/>
  <c r="J219" i="8"/>
  <c r="I219" i="8"/>
  <c r="H219" i="8"/>
  <c r="G219" i="8"/>
  <c r="J218" i="8"/>
  <c r="I218" i="8"/>
  <c r="H218" i="8"/>
  <c r="G218" i="8"/>
  <c r="F217" i="8"/>
  <c r="E217" i="8"/>
  <c r="D217" i="8"/>
  <c r="C217" i="8"/>
  <c r="I215" i="8"/>
  <c r="H215" i="8"/>
  <c r="F215" i="8"/>
  <c r="F214" i="8"/>
  <c r="F213" i="8"/>
  <c r="F212" i="8"/>
  <c r="J211" i="8"/>
  <c r="I211" i="8"/>
  <c r="H211" i="8"/>
  <c r="G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F207" i="8"/>
  <c r="E207" i="8"/>
  <c r="D207" i="8"/>
  <c r="C207" i="8"/>
  <c r="I205" i="8"/>
  <c r="H205" i="8"/>
  <c r="F205" i="8"/>
  <c r="F204" i="8"/>
  <c r="F203" i="8"/>
  <c r="J202" i="8"/>
  <c r="I202" i="8"/>
  <c r="H202" i="8"/>
  <c r="G202" i="8"/>
  <c r="J201" i="8"/>
  <c r="I201" i="8"/>
  <c r="H201" i="8"/>
  <c r="G201" i="8"/>
  <c r="F200" i="8"/>
  <c r="E200" i="8"/>
  <c r="D200" i="8"/>
  <c r="C200" i="8"/>
  <c r="I198" i="8"/>
  <c r="H198" i="8"/>
  <c r="F198" i="8"/>
  <c r="F197" i="8"/>
  <c r="F196" i="8"/>
  <c r="J195" i="8"/>
  <c r="I195" i="8"/>
  <c r="H195" i="8"/>
  <c r="G195" i="8"/>
  <c r="F194" i="8"/>
  <c r="E194" i="8"/>
  <c r="D194" i="8"/>
  <c r="C194" i="8"/>
  <c r="I192" i="8"/>
  <c r="H192" i="8"/>
  <c r="F192" i="8"/>
  <c r="F191" i="8"/>
  <c r="F190" i="8"/>
  <c r="F189" i="8"/>
  <c r="J188" i="8"/>
  <c r="I188" i="8"/>
  <c r="H188" i="8"/>
  <c r="G188" i="8"/>
  <c r="J187" i="8"/>
  <c r="I187" i="8"/>
  <c r="H187" i="8"/>
  <c r="G187" i="8"/>
  <c r="J186" i="8"/>
  <c r="I186" i="8"/>
  <c r="H186" i="8"/>
  <c r="G186" i="8"/>
  <c r="F185" i="8"/>
  <c r="E185" i="8"/>
  <c r="D185" i="8"/>
  <c r="C185" i="8"/>
  <c r="I183" i="8"/>
  <c r="H183" i="8"/>
  <c r="F183" i="8"/>
  <c r="F182" i="8"/>
  <c r="F181" i="8"/>
  <c r="J180" i="8"/>
  <c r="I180" i="8"/>
  <c r="H180" i="8"/>
  <c r="G180" i="8"/>
  <c r="J179" i="8"/>
  <c r="I179" i="8"/>
  <c r="H179" i="8"/>
  <c r="G179" i="8"/>
  <c r="E177" i="8"/>
  <c r="D177" i="8"/>
  <c r="C177" i="8"/>
  <c r="I175" i="8"/>
  <c r="H175" i="8"/>
  <c r="F175" i="8"/>
  <c r="F174" i="8"/>
  <c r="F173" i="8"/>
  <c r="J172" i="8"/>
  <c r="I172" i="8"/>
  <c r="H172" i="8"/>
  <c r="G172" i="8"/>
  <c r="E170" i="8"/>
  <c r="D170" i="8"/>
  <c r="C170" i="8"/>
  <c r="C169" i="8"/>
  <c r="I166" i="8"/>
  <c r="H166" i="8"/>
  <c r="F166" i="8"/>
  <c r="F165" i="8"/>
  <c r="F164" i="8"/>
  <c r="J163" i="8"/>
  <c r="I163" i="8"/>
  <c r="H163" i="8"/>
  <c r="G163" i="8"/>
  <c r="J162" i="8"/>
  <c r="I162" i="8"/>
  <c r="H162" i="8"/>
  <c r="G162" i="8"/>
  <c r="F161" i="8"/>
  <c r="E161" i="8"/>
  <c r="D161" i="8"/>
  <c r="C161" i="8"/>
  <c r="I159" i="8"/>
  <c r="H159" i="8"/>
  <c r="F159" i="8"/>
  <c r="F158" i="8"/>
  <c r="F157" i="8"/>
  <c r="J156" i="8"/>
  <c r="I156" i="8"/>
  <c r="G156" i="8"/>
  <c r="E156" i="8"/>
  <c r="D156" i="8"/>
  <c r="C156" i="8"/>
  <c r="J155" i="8"/>
  <c r="I155" i="8"/>
  <c r="H155" i="8"/>
  <c r="G155" i="8"/>
  <c r="J154" i="8"/>
  <c r="I154" i="8"/>
  <c r="H154" i="8"/>
  <c r="G154" i="8"/>
  <c r="E152" i="8"/>
  <c r="D152" i="8"/>
  <c r="C152" i="8"/>
  <c r="I150" i="8"/>
  <c r="H150" i="8"/>
  <c r="F150" i="8"/>
  <c r="F149" i="8"/>
  <c r="F148" i="8"/>
  <c r="J147" i="8"/>
  <c r="I147" i="8"/>
  <c r="H147" i="8"/>
  <c r="G147" i="8"/>
  <c r="E145" i="8"/>
  <c r="D145" i="8"/>
  <c r="C145" i="8"/>
  <c r="I143" i="8"/>
  <c r="H143" i="8"/>
  <c r="F143" i="8"/>
  <c r="F142" i="8"/>
  <c r="F141" i="8"/>
  <c r="J140" i="8"/>
  <c r="I140" i="8"/>
  <c r="H140" i="8"/>
  <c r="G140" i="8"/>
  <c r="J139" i="8"/>
  <c r="I139" i="8"/>
  <c r="H139" i="8"/>
  <c r="G139" i="8"/>
  <c r="E137" i="8"/>
  <c r="D137" i="8"/>
  <c r="C137" i="8"/>
  <c r="I135" i="8"/>
  <c r="H135" i="8"/>
  <c r="F135" i="8"/>
  <c r="F134" i="8"/>
  <c r="F133" i="8"/>
  <c r="J132" i="8"/>
  <c r="I132" i="8"/>
  <c r="H132" i="8"/>
  <c r="G132" i="8"/>
  <c r="J131" i="8"/>
  <c r="I131" i="8"/>
  <c r="H131" i="8"/>
  <c r="G131" i="8"/>
  <c r="F130" i="8"/>
  <c r="E130" i="8"/>
  <c r="D130" i="8"/>
  <c r="C130" i="8"/>
  <c r="I128" i="8"/>
  <c r="H128" i="8"/>
  <c r="F128" i="8"/>
  <c r="F127" i="8"/>
  <c r="F126" i="8"/>
  <c r="J125" i="8"/>
  <c r="I125" i="8"/>
  <c r="H125" i="8"/>
  <c r="G125" i="8"/>
  <c r="E123" i="8"/>
  <c r="D123" i="8"/>
  <c r="C123" i="8"/>
  <c r="C122" i="8"/>
  <c r="I119" i="8"/>
  <c r="H119" i="8"/>
  <c r="F119" i="8"/>
  <c r="F118" i="8"/>
  <c r="F117" i="8"/>
  <c r="J116" i="8"/>
  <c r="I116" i="8"/>
  <c r="H116" i="8"/>
  <c r="G116" i="8"/>
  <c r="J115" i="8"/>
  <c r="I115" i="8"/>
  <c r="H115" i="8"/>
  <c r="G115" i="8"/>
  <c r="E113" i="8"/>
  <c r="D113" i="8"/>
  <c r="C113" i="8"/>
  <c r="I111" i="8"/>
  <c r="H111" i="8"/>
  <c r="F111" i="8"/>
  <c r="F110" i="8"/>
  <c r="F109" i="8"/>
  <c r="J108" i="8"/>
  <c r="I108" i="8"/>
  <c r="H108" i="8"/>
  <c r="G108" i="8"/>
  <c r="J107" i="8"/>
  <c r="I107" i="8"/>
  <c r="H107" i="8"/>
  <c r="G107" i="8"/>
  <c r="F106" i="8"/>
  <c r="E106" i="8"/>
  <c r="D106" i="8"/>
  <c r="C106" i="8"/>
  <c r="I104" i="8"/>
  <c r="H104" i="8"/>
  <c r="F104" i="8"/>
  <c r="F103" i="8"/>
  <c r="F102" i="8"/>
  <c r="J101" i="8"/>
  <c r="I101" i="8"/>
  <c r="H101" i="8"/>
  <c r="G101" i="8"/>
  <c r="F100" i="8"/>
  <c r="E100" i="8"/>
  <c r="D100" i="8"/>
  <c r="C100" i="8"/>
  <c r="I98" i="8"/>
  <c r="H98" i="8"/>
  <c r="F98" i="8"/>
  <c r="F97" i="8"/>
  <c r="F96" i="8"/>
  <c r="J95" i="8"/>
  <c r="I95" i="8"/>
  <c r="H95" i="8"/>
  <c r="G95" i="8"/>
  <c r="J94" i="8"/>
  <c r="I94" i="8"/>
  <c r="H94" i="8"/>
  <c r="G94" i="8"/>
  <c r="F93" i="8"/>
  <c r="E93" i="8"/>
  <c r="D93" i="8"/>
  <c r="C93" i="8"/>
  <c r="I91" i="8"/>
  <c r="H91" i="8"/>
  <c r="F91" i="8"/>
  <c r="F90" i="8"/>
  <c r="F89" i="8"/>
  <c r="J88" i="8"/>
  <c r="I88" i="8"/>
  <c r="H88" i="8"/>
  <c r="G88" i="8"/>
  <c r="E86" i="8"/>
  <c r="D86" i="8"/>
  <c r="C86" i="8"/>
  <c r="I84" i="8"/>
  <c r="H84" i="8"/>
  <c r="F84" i="8"/>
  <c r="F83" i="8"/>
  <c r="F82" i="8"/>
  <c r="J81" i="8"/>
  <c r="I81" i="8"/>
  <c r="H81" i="8"/>
  <c r="G81" i="8"/>
  <c r="E80" i="8"/>
  <c r="D80" i="8"/>
  <c r="C80" i="8"/>
  <c r="C79" i="8"/>
  <c r="A77" i="8"/>
  <c r="I71" i="8"/>
  <c r="H71" i="8"/>
  <c r="F71" i="8"/>
  <c r="F70" i="8"/>
  <c r="F69" i="8"/>
  <c r="F68" i="8"/>
  <c r="J67" i="8"/>
  <c r="I67" i="8"/>
  <c r="H67" i="8"/>
  <c r="G67" i="8"/>
  <c r="J66" i="8"/>
  <c r="I66" i="8"/>
  <c r="H66" i="8"/>
  <c r="G66" i="8"/>
  <c r="J65" i="8"/>
  <c r="I65" i="8"/>
  <c r="H65" i="8"/>
  <c r="G65" i="8"/>
  <c r="J64" i="8"/>
  <c r="I64" i="8"/>
  <c r="H64" i="8"/>
  <c r="G64" i="8"/>
  <c r="E62" i="8"/>
  <c r="D62" i="8"/>
  <c r="C62" i="8"/>
  <c r="A61" i="8"/>
  <c r="A59" i="8"/>
  <c r="I53" i="8"/>
  <c r="H53" i="8"/>
  <c r="F53" i="8"/>
  <c r="F52" i="8"/>
  <c r="F51" i="8"/>
  <c r="J50" i="8"/>
  <c r="I50" i="8"/>
  <c r="H50" i="8"/>
  <c r="G50" i="8"/>
  <c r="E48" i="8"/>
  <c r="D48" i="8"/>
  <c r="C48" i="8"/>
  <c r="I46" i="8"/>
  <c r="H46" i="8"/>
  <c r="F46" i="8"/>
  <c r="F45" i="8"/>
  <c r="F44" i="8"/>
  <c r="J43" i="8"/>
  <c r="I43" i="8"/>
  <c r="H43" i="8"/>
  <c r="G43" i="8"/>
  <c r="J42" i="8"/>
  <c r="I42" i="8"/>
  <c r="H42" i="8"/>
  <c r="G42" i="8"/>
  <c r="F41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F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GX28" i="1" s="1"/>
  <c r="K28" i="1"/>
  <c r="AC28" i="1"/>
  <c r="AE28" i="1"/>
  <c r="AD28" i="1" s="1"/>
  <c r="AF28" i="1"/>
  <c r="CT28" i="1" s="1"/>
  <c r="AG28" i="1"/>
  <c r="CU28" i="1" s="1"/>
  <c r="AH28" i="1"/>
  <c r="CV28" i="1" s="1"/>
  <c r="AI28" i="1"/>
  <c r="CW28" i="1" s="1"/>
  <c r="AJ28" i="1"/>
  <c r="CX28" i="1" s="1"/>
  <c r="CQ28" i="1"/>
  <c r="CR28" i="1"/>
  <c r="CS28" i="1"/>
  <c r="FR28" i="1"/>
  <c r="GL28" i="1"/>
  <c r="GN28" i="1"/>
  <c r="GO28" i="1"/>
  <c r="GV28" i="1"/>
  <c r="HC28" i="1" s="1"/>
  <c r="D29" i="1"/>
  <c r="I29" i="1"/>
  <c r="K29" i="1"/>
  <c r="AC29" i="1"/>
  <c r="CQ29" i="1" s="1"/>
  <c r="P29" i="1" s="1"/>
  <c r="AE29" i="1"/>
  <c r="CR29" i="1" s="1"/>
  <c r="AF29" i="1"/>
  <c r="CT29" i="1" s="1"/>
  <c r="AG29" i="1"/>
  <c r="CU29" i="1" s="1"/>
  <c r="T29" i="1" s="1"/>
  <c r="AH29" i="1"/>
  <c r="CV29" i="1" s="1"/>
  <c r="U29" i="1" s="1"/>
  <c r="AI29" i="1"/>
  <c r="CW29" i="1" s="1"/>
  <c r="V29" i="1" s="1"/>
  <c r="AJ29" i="1"/>
  <c r="CX29" i="1" s="1"/>
  <c r="W29" i="1" s="1"/>
  <c r="FR29" i="1"/>
  <c r="GL29" i="1"/>
  <c r="GN29" i="1"/>
  <c r="GO29" i="1"/>
  <c r="GV29" i="1"/>
  <c r="HC29" i="1"/>
  <c r="GX29" i="1" s="1"/>
  <c r="D30" i="1"/>
  <c r="I30" i="1"/>
  <c r="K30" i="1"/>
  <c r="AC30" i="1"/>
  <c r="AE30" i="1"/>
  <c r="CR30" i="1" s="1"/>
  <c r="AF30" i="1"/>
  <c r="CT30" i="1" s="1"/>
  <c r="AG30" i="1"/>
  <c r="AH30" i="1"/>
  <c r="CV30" i="1" s="1"/>
  <c r="AI30" i="1"/>
  <c r="CW30" i="1" s="1"/>
  <c r="AJ30" i="1"/>
  <c r="CX30" i="1" s="1"/>
  <c r="W30" i="1" s="1"/>
  <c r="CQ30" i="1"/>
  <c r="CU30" i="1"/>
  <c r="FR30" i="1"/>
  <c r="GL30" i="1"/>
  <c r="GN30" i="1"/>
  <c r="GO30" i="1"/>
  <c r="GV30" i="1"/>
  <c r="HC30" i="1"/>
  <c r="D31" i="1"/>
  <c r="AC31" i="1"/>
  <c r="CQ31" i="1" s="1"/>
  <c r="P31" i="1" s="1"/>
  <c r="AE31" i="1"/>
  <c r="AF31" i="1"/>
  <c r="CT31" i="1" s="1"/>
  <c r="S31" i="1" s="1"/>
  <c r="AG31" i="1"/>
  <c r="AH31" i="1"/>
  <c r="CV31" i="1" s="1"/>
  <c r="U31" i="1" s="1"/>
  <c r="AI31" i="1"/>
  <c r="AJ31" i="1"/>
  <c r="CX31" i="1" s="1"/>
  <c r="W31" i="1" s="1"/>
  <c r="CU31" i="1"/>
  <c r="T31" i="1" s="1"/>
  <c r="CW31" i="1"/>
  <c r="V31" i="1" s="1"/>
  <c r="FR31" i="1"/>
  <c r="GL31" i="1"/>
  <c r="GN31" i="1"/>
  <c r="GO31" i="1"/>
  <c r="GV31" i="1"/>
  <c r="HC31" i="1" s="1"/>
  <c r="GX31" i="1" s="1"/>
  <c r="D32" i="1"/>
  <c r="AC32" i="1"/>
  <c r="CQ32" i="1" s="1"/>
  <c r="P32" i="1" s="1"/>
  <c r="AE32" i="1"/>
  <c r="AF32" i="1"/>
  <c r="AG32" i="1"/>
  <c r="CU32" i="1" s="1"/>
  <c r="T32" i="1" s="1"/>
  <c r="AG36" i="1" s="1"/>
  <c r="AH32" i="1"/>
  <c r="CV32" i="1" s="1"/>
  <c r="U32" i="1" s="1"/>
  <c r="AI32" i="1"/>
  <c r="AJ32" i="1"/>
  <c r="CX32" i="1" s="1"/>
  <c r="W32" i="1" s="1"/>
  <c r="CW32" i="1"/>
  <c r="V32" i="1" s="1"/>
  <c r="AI36" i="1" s="1"/>
  <c r="FR32" i="1"/>
  <c r="GL32" i="1"/>
  <c r="GN32" i="1"/>
  <c r="GO32" i="1"/>
  <c r="GV32" i="1"/>
  <c r="HC32" i="1" s="1"/>
  <c r="GX32" i="1" s="1"/>
  <c r="CJ36" i="1" s="1"/>
  <c r="D33" i="1"/>
  <c r="I33" i="1"/>
  <c r="K33" i="1"/>
  <c r="V33" i="1"/>
  <c r="AC33" i="1"/>
  <c r="CQ33" i="1" s="1"/>
  <c r="P33" i="1" s="1"/>
  <c r="AE33" i="1"/>
  <c r="AF33" i="1"/>
  <c r="AG33" i="1"/>
  <c r="CU33" i="1" s="1"/>
  <c r="T33" i="1" s="1"/>
  <c r="AH33" i="1"/>
  <c r="CV33" i="1" s="1"/>
  <c r="AI33" i="1"/>
  <c r="AJ33" i="1"/>
  <c r="CX33" i="1" s="1"/>
  <c r="CW33" i="1"/>
  <c r="FR33" i="1"/>
  <c r="GL33" i="1"/>
  <c r="GN33" i="1"/>
  <c r="GO33" i="1"/>
  <c r="CC36" i="1" s="1"/>
  <c r="GV33" i="1"/>
  <c r="HC33" i="1" s="1"/>
  <c r="GX33" i="1" s="1"/>
  <c r="D34" i="1"/>
  <c r="I34" i="1"/>
  <c r="GX34" i="1" s="1"/>
  <c r="K34" i="1"/>
  <c r="AC34" i="1"/>
  <c r="AE34" i="1"/>
  <c r="AF34" i="1"/>
  <c r="CT34" i="1" s="1"/>
  <c r="S34" i="1" s="1"/>
  <c r="CZ34" i="1" s="1"/>
  <c r="Y34" i="1" s="1"/>
  <c r="AG34" i="1"/>
  <c r="AH34" i="1"/>
  <c r="CV34" i="1" s="1"/>
  <c r="AI34" i="1"/>
  <c r="CW34" i="1" s="1"/>
  <c r="AJ34" i="1"/>
  <c r="CX34" i="1" s="1"/>
  <c r="CQ34" i="1"/>
  <c r="P34" i="1" s="1"/>
  <c r="CU34" i="1"/>
  <c r="FR34" i="1"/>
  <c r="GL34" i="1"/>
  <c r="GN34" i="1"/>
  <c r="GO34" i="1"/>
  <c r="GV34" i="1"/>
  <c r="HC34" i="1" s="1"/>
  <c r="B36" i="1"/>
  <c r="B26" i="1" s="1"/>
  <c r="C36" i="1"/>
  <c r="C26" i="1" s="1"/>
  <c r="D36" i="1"/>
  <c r="D26" i="1" s="1"/>
  <c r="F36" i="1"/>
  <c r="G36" i="1"/>
  <c r="BX36" i="1"/>
  <c r="BY36" i="1"/>
  <c r="CK36" i="1"/>
  <c r="CK26" i="1" s="1"/>
  <c r="CL36" i="1"/>
  <c r="CM36" i="1"/>
  <c r="CM26" i="1" s="1"/>
  <c r="D66" i="1"/>
  <c r="E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D70" i="1"/>
  <c r="E72" i="1"/>
  <c r="G72" i="1"/>
  <c r="Z72" i="1"/>
  <c r="AA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K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D74" i="1"/>
  <c r="W74" i="1"/>
  <c r="AC74" i="1"/>
  <c r="CQ74" i="1" s="1"/>
  <c r="P74" i="1" s="1"/>
  <c r="AE74" i="1"/>
  <c r="CR74" i="1" s="1"/>
  <c r="Q74" i="1" s="1"/>
  <c r="AF74" i="1"/>
  <c r="CT74" i="1" s="1"/>
  <c r="S74" i="1" s="1"/>
  <c r="AG74" i="1"/>
  <c r="AH74" i="1"/>
  <c r="AI74" i="1"/>
  <c r="AJ74" i="1"/>
  <c r="CX74" i="1" s="1"/>
  <c r="CS74" i="1"/>
  <c r="R74" i="1" s="1"/>
  <c r="GK74" i="1" s="1"/>
  <c r="CU74" i="1"/>
  <c r="T74" i="1" s="1"/>
  <c r="CV74" i="1"/>
  <c r="U74" i="1" s="1"/>
  <c r="CW74" i="1"/>
  <c r="V74" i="1" s="1"/>
  <c r="FR74" i="1"/>
  <c r="GL74" i="1"/>
  <c r="GN74" i="1"/>
  <c r="GO74" i="1"/>
  <c r="GV74" i="1"/>
  <c r="HC74" i="1" s="1"/>
  <c r="GX74" i="1" s="1"/>
  <c r="D75" i="1"/>
  <c r="I75" i="1"/>
  <c r="K75" i="1"/>
  <c r="AC75" i="1"/>
  <c r="AE75" i="1"/>
  <c r="AF75" i="1"/>
  <c r="AG75" i="1"/>
  <c r="AH75" i="1"/>
  <c r="CV75" i="1" s="1"/>
  <c r="AI75" i="1"/>
  <c r="CW75" i="1" s="1"/>
  <c r="AJ75" i="1"/>
  <c r="CX75" i="1" s="1"/>
  <c r="CU75" i="1"/>
  <c r="FR75" i="1"/>
  <c r="GL75" i="1"/>
  <c r="GN75" i="1"/>
  <c r="CB77" i="1" s="1"/>
  <c r="GO75" i="1"/>
  <c r="GV75" i="1"/>
  <c r="HC75" i="1" s="1"/>
  <c r="GX75" i="1" s="1"/>
  <c r="CJ77" i="1" s="1"/>
  <c r="BA77" i="1" s="1"/>
  <c r="F97" i="1" s="1"/>
  <c r="B77" i="1"/>
  <c r="B72" i="1" s="1"/>
  <c r="C77" i="1"/>
  <c r="C72" i="1" s="1"/>
  <c r="D77" i="1"/>
  <c r="D72" i="1" s="1"/>
  <c r="F77" i="1"/>
  <c r="F72" i="1" s="1"/>
  <c r="G77" i="1"/>
  <c r="BX77" i="1"/>
  <c r="AO77" i="1" s="1"/>
  <c r="BY77" i="1"/>
  <c r="AP77" i="1" s="1"/>
  <c r="BZ77" i="1"/>
  <c r="CC77" i="1"/>
  <c r="CK77" i="1"/>
  <c r="BB77" i="1" s="1"/>
  <c r="CL77" i="1"/>
  <c r="CL72" i="1" s="1"/>
  <c r="CM77" i="1"/>
  <c r="CM72" i="1" s="1"/>
  <c r="D107" i="1"/>
  <c r="E109" i="1"/>
  <c r="Z109" i="1"/>
  <c r="AA109" i="1"/>
  <c r="AM109" i="1"/>
  <c r="AN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EH109" i="1"/>
  <c r="EI109" i="1"/>
  <c r="EJ109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Y109" i="1"/>
  <c r="EZ109" i="1"/>
  <c r="FA109" i="1"/>
  <c r="FB109" i="1"/>
  <c r="FC109" i="1"/>
  <c r="FD109" i="1"/>
  <c r="FE109" i="1"/>
  <c r="FF109" i="1"/>
  <c r="FG109" i="1"/>
  <c r="FH109" i="1"/>
  <c r="FI109" i="1"/>
  <c r="FJ109" i="1"/>
  <c r="FK109" i="1"/>
  <c r="FL109" i="1"/>
  <c r="FM109" i="1"/>
  <c r="FN109" i="1"/>
  <c r="FO109" i="1"/>
  <c r="FP109" i="1"/>
  <c r="FQ109" i="1"/>
  <c r="FR109" i="1"/>
  <c r="FS109" i="1"/>
  <c r="FT109" i="1"/>
  <c r="FU109" i="1"/>
  <c r="FV109" i="1"/>
  <c r="FW109" i="1"/>
  <c r="FX109" i="1"/>
  <c r="FY109" i="1"/>
  <c r="FZ109" i="1"/>
  <c r="GA109" i="1"/>
  <c r="GB109" i="1"/>
  <c r="GC109" i="1"/>
  <c r="GD109" i="1"/>
  <c r="GE109" i="1"/>
  <c r="GF109" i="1"/>
  <c r="GG109" i="1"/>
  <c r="GH109" i="1"/>
  <c r="GI109" i="1"/>
  <c r="GJ109" i="1"/>
  <c r="GK109" i="1"/>
  <c r="GL109" i="1"/>
  <c r="GM109" i="1"/>
  <c r="GN109" i="1"/>
  <c r="GO109" i="1"/>
  <c r="GP109" i="1"/>
  <c r="GQ109" i="1"/>
  <c r="GR109" i="1"/>
  <c r="GS109" i="1"/>
  <c r="GT109" i="1"/>
  <c r="GU109" i="1"/>
  <c r="GV109" i="1"/>
  <c r="GW109" i="1"/>
  <c r="GX109" i="1"/>
  <c r="D112" i="1"/>
  <c r="I112" i="1"/>
  <c r="K112" i="1"/>
  <c r="AC112" i="1"/>
  <c r="AD112" i="1"/>
  <c r="AE112" i="1"/>
  <c r="AF112" i="1"/>
  <c r="AG112" i="1"/>
  <c r="CU112" i="1" s="1"/>
  <c r="T112" i="1" s="1"/>
  <c r="AH112" i="1"/>
  <c r="CV112" i="1" s="1"/>
  <c r="U112" i="1" s="1"/>
  <c r="AI112" i="1"/>
  <c r="CW112" i="1" s="1"/>
  <c r="V112" i="1" s="1"/>
  <c r="AJ112" i="1"/>
  <c r="CX112" i="1" s="1"/>
  <c r="W112" i="1" s="1"/>
  <c r="CR112" i="1"/>
  <c r="Q112" i="1" s="1"/>
  <c r="FR112" i="1"/>
  <c r="GL112" i="1"/>
  <c r="GN112" i="1"/>
  <c r="GO112" i="1"/>
  <c r="GV112" i="1"/>
  <c r="HC112" i="1" s="1"/>
  <c r="GX112" i="1" s="1"/>
  <c r="D113" i="1"/>
  <c r="I113" i="1"/>
  <c r="K113" i="1"/>
  <c r="AC113" i="1"/>
  <c r="AE113" i="1"/>
  <c r="AF113" i="1"/>
  <c r="AG113" i="1"/>
  <c r="CU113" i="1" s="1"/>
  <c r="T113" i="1" s="1"/>
  <c r="AH113" i="1"/>
  <c r="CV113" i="1" s="1"/>
  <c r="U113" i="1" s="1"/>
  <c r="AI113" i="1"/>
  <c r="CW113" i="1" s="1"/>
  <c r="AJ113" i="1"/>
  <c r="CX113" i="1" s="1"/>
  <c r="FR113" i="1"/>
  <c r="GL113" i="1"/>
  <c r="GN113" i="1"/>
  <c r="GO113" i="1"/>
  <c r="GV113" i="1"/>
  <c r="HC113" i="1" s="1"/>
  <c r="GX113" i="1" s="1"/>
  <c r="D114" i="1"/>
  <c r="AC114" i="1"/>
  <c r="AD114" i="1"/>
  <c r="AE114" i="1"/>
  <c r="AF114" i="1"/>
  <c r="AG114" i="1"/>
  <c r="CU114" i="1" s="1"/>
  <c r="T114" i="1" s="1"/>
  <c r="AH114" i="1"/>
  <c r="AI114" i="1"/>
  <c r="CW114" i="1" s="1"/>
  <c r="V114" i="1" s="1"/>
  <c r="AJ114" i="1"/>
  <c r="CV114" i="1"/>
  <c r="U114" i="1" s="1"/>
  <c r="CX114" i="1"/>
  <c r="W114" i="1" s="1"/>
  <c r="FR114" i="1"/>
  <c r="GL114" i="1"/>
  <c r="GN114" i="1"/>
  <c r="GO114" i="1"/>
  <c r="GV114" i="1"/>
  <c r="HC114" i="1" s="1"/>
  <c r="GX114" i="1" s="1"/>
  <c r="D115" i="1"/>
  <c r="AC115" i="1"/>
  <c r="CQ115" i="1" s="1"/>
  <c r="P115" i="1" s="1"/>
  <c r="AE115" i="1"/>
  <c r="CR115" i="1" s="1"/>
  <c r="Q115" i="1" s="1"/>
  <c r="AF115" i="1"/>
  <c r="AG115" i="1"/>
  <c r="AH115" i="1"/>
  <c r="AI115" i="1"/>
  <c r="CW115" i="1" s="1"/>
  <c r="V115" i="1" s="1"/>
  <c r="AJ115" i="1"/>
  <c r="CT115" i="1"/>
  <c r="S115" i="1" s="1"/>
  <c r="CU115" i="1"/>
  <c r="T115" i="1" s="1"/>
  <c r="CV115" i="1"/>
  <c r="U115" i="1" s="1"/>
  <c r="CX115" i="1"/>
  <c r="W115" i="1" s="1"/>
  <c r="FR115" i="1"/>
  <c r="GL115" i="1"/>
  <c r="GN115" i="1"/>
  <c r="GO115" i="1"/>
  <c r="GV115" i="1"/>
  <c r="HC115" i="1" s="1"/>
  <c r="GX115" i="1" s="1"/>
  <c r="D116" i="1"/>
  <c r="AC116" i="1"/>
  <c r="AE116" i="1"/>
  <c r="AF116" i="1"/>
  <c r="AG116" i="1"/>
  <c r="CU116" i="1" s="1"/>
  <c r="T116" i="1" s="1"/>
  <c r="AH116" i="1"/>
  <c r="CV116" i="1" s="1"/>
  <c r="U116" i="1" s="1"/>
  <c r="AI116" i="1"/>
  <c r="CW116" i="1" s="1"/>
  <c r="V116" i="1" s="1"/>
  <c r="AJ116" i="1"/>
  <c r="CX116" i="1" s="1"/>
  <c r="W116" i="1" s="1"/>
  <c r="FR116" i="1"/>
  <c r="GL116" i="1"/>
  <c r="GN116" i="1"/>
  <c r="GO116" i="1"/>
  <c r="GV116" i="1"/>
  <c r="HC116" i="1"/>
  <c r="GX116" i="1" s="1"/>
  <c r="D117" i="1"/>
  <c r="I117" i="1"/>
  <c r="K117" i="1"/>
  <c r="AC117" i="1"/>
  <c r="AE117" i="1"/>
  <c r="AF117" i="1"/>
  <c r="AG117" i="1"/>
  <c r="CU117" i="1" s="1"/>
  <c r="AH117" i="1"/>
  <c r="CV117" i="1" s="1"/>
  <c r="AI117" i="1"/>
  <c r="CW117" i="1" s="1"/>
  <c r="AJ117" i="1"/>
  <c r="CX117" i="1" s="1"/>
  <c r="CQ117" i="1"/>
  <c r="CR117" i="1"/>
  <c r="CS117" i="1"/>
  <c r="CT117" i="1"/>
  <c r="FR117" i="1"/>
  <c r="GL117" i="1"/>
  <c r="GN117" i="1"/>
  <c r="GO117" i="1"/>
  <c r="GV117" i="1"/>
  <c r="HC117" i="1" s="1"/>
  <c r="D119" i="1"/>
  <c r="I119" i="1"/>
  <c r="K119" i="1"/>
  <c r="AC119" i="1"/>
  <c r="CQ119" i="1" s="1"/>
  <c r="AE119" i="1"/>
  <c r="AF119" i="1"/>
  <c r="AG119" i="1"/>
  <c r="CU119" i="1" s="1"/>
  <c r="AH119" i="1"/>
  <c r="CV119" i="1" s="1"/>
  <c r="AI119" i="1"/>
  <c r="CW119" i="1" s="1"/>
  <c r="AJ119" i="1"/>
  <c r="CX119" i="1" s="1"/>
  <c r="FR119" i="1"/>
  <c r="GL119" i="1"/>
  <c r="GN119" i="1"/>
  <c r="GO119" i="1"/>
  <c r="GV119" i="1"/>
  <c r="HC119" i="1"/>
  <c r="D120" i="1"/>
  <c r="AC120" i="1"/>
  <c r="AD120" i="1"/>
  <c r="AE120" i="1"/>
  <c r="AF120" i="1"/>
  <c r="AG120" i="1"/>
  <c r="AH120" i="1"/>
  <c r="CV120" i="1" s="1"/>
  <c r="U120" i="1" s="1"/>
  <c r="AI120" i="1"/>
  <c r="CW120" i="1" s="1"/>
  <c r="V120" i="1" s="1"/>
  <c r="AJ120" i="1"/>
  <c r="CX120" i="1" s="1"/>
  <c r="W120" i="1" s="1"/>
  <c r="CQ120" i="1"/>
  <c r="P120" i="1" s="1"/>
  <c r="CR120" i="1"/>
  <c r="Q120" i="1" s="1"/>
  <c r="CS120" i="1"/>
  <c r="CT120" i="1"/>
  <c r="S120" i="1" s="1"/>
  <c r="CU120" i="1"/>
  <c r="T120" i="1" s="1"/>
  <c r="FR120" i="1"/>
  <c r="GL120" i="1"/>
  <c r="GN120" i="1"/>
  <c r="GO120" i="1"/>
  <c r="GV120" i="1"/>
  <c r="HC120" i="1" s="1"/>
  <c r="GX120" i="1" s="1"/>
  <c r="D121" i="1"/>
  <c r="AC121" i="1"/>
  <c r="AD121" i="1"/>
  <c r="AE121" i="1"/>
  <c r="AF121" i="1"/>
  <c r="CT121" i="1" s="1"/>
  <c r="S121" i="1" s="1"/>
  <c r="CY121" i="1" s="1"/>
  <c r="X121" i="1" s="1"/>
  <c r="AG121" i="1"/>
  <c r="CU121" i="1" s="1"/>
  <c r="T121" i="1" s="1"/>
  <c r="AH121" i="1"/>
  <c r="CV121" i="1" s="1"/>
  <c r="U121" i="1" s="1"/>
  <c r="AI121" i="1"/>
  <c r="CW121" i="1" s="1"/>
  <c r="V121" i="1" s="1"/>
  <c r="AJ121" i="1"/>
  <c r="CX121" i="1" s="1"/>
  <c r="W121" i="1" s="1"/>
  <c r="FR121" i="1"/>
  <c r="GL121" i="1"/>
  <c r="GN121" i="1"/>
  <c r="GO121" i="1"/>
  <c r="GV121" i="1"/>
  <c r="GX121" i="1"/>
  <c r="HC121" i="1"/>
  <c r="I122" i="1"/>
  <c r="K122" i="1"/>
  <c r="AC122" i="1"/>
  <c r="CQ122" i="1" s="1"/>
  <c r="P122" i="1" s="1"/>
  <c r="AD122" i="1"/>
  <c r="CR122" i="1" s="1"/>
  <c r="AE122" i="1"/>
  <c r="CS122" i="1" s="1"/>
  <c r="R122" i="1" s="1"/>
  <c r="GK122" i="1" s="1"/>
  <c r="AF122" i="1"/>
  <c r="CT122" i="1" s="1"/>
  <c r="S122" i="1" s="1"/>
  <c r="AG122" i="1"/>
  <c r="CU122" i="1" s="1"/>
  <c r="T122" i="1" s="1"/>
  <c r="AH122" i="1"/>
  <c r="CV122" i="1" s="1"/>
  <c r="U122" i="1" s="1"/>
  <c r="AI122" i="1"/>
  <c r="CW122" i="1" s="1"/>
  <c r="V122" i="1" s="1"/>
  <c r="AJ122" i="1"/>
  <c r="CX122" i="1" s="1"/>
  <c r="W122" i="1" s="1"/>
  <c r="CY122" i="1"/>
  <c r="X122" i="1" s="1"/>
  <c r="CZ122" i="1"/>
  <c r="Y122" i="1" s="1"/>
  <c r="FR122" i="1"/>
  <c r="GL122" i="1"/>
  <c r="GO122" i="1"/>
  <c r="GP122" i="1"/>
  <c r="GV122" i="1"/>
  <c r="HC122" i="1" s="1"/>
  <c r="GX122" i="1" s="1"/>
  <c r="D123" i="1"/>
  <c r="I123" i="1"/>
  <c r="K123" i="1"/>
  <c r="AC123" i="1"/>
  <c r="AE123" i="1"/>
  <c r="AF123" i="1"/>
  <c r="CT123" i="1" s="1"/>
  <c r="S123" i="1" s="1"/>
  <c r="AG123" i="1"/>
  <c r="CU123" i="1" s="1"/>
  <c r="T123" i="1" s="1"/>
  <c r="AH123" i="1"/>
  <c r="CV123" i="1" s="1"/>
  <c r="AI123" i="1"/>
  <c r="CW123" i="1" s="1"/>
  <c r="AJ123" i="1"/>
  <c r="CX123" i="1"/>
  <c r="W123" i="1" s="1"/>
  <c r="FR123" i="1"/>
  <c r="GL123" i="1"/>
  <c r="GN123" i="1"/>
  <c r="GO123" i="1"/>
  <c r="GV123" i="1"/>
  <c r="HC123" i="1" s="1"/>
  <c r="GX123" i="1" s="1"/>
  <c r="D124" i="1"/>
  <c r="I124" i="1"/>
  <c r="K124" i="1"/>
  <c r="AC124" i="1"/>
  <c r="CQ124" i="1" s="1"/>
  <c r="P124" i="1" s="1"/>
  <c r="AD124" i="1"/>
  <c r="AE124" i="1"/>
  <c r="CR124" i="1" s="1"/>
  <c r="Q124" i="1" s="1"/>
  <c r="AF124" i="1"/>
  <c r="AG124" i="1"/>
  <c r="CU124" i="1" s="1"/>
  <c r="T124" i="1" s="1"/>
  <c r="AH124" i="1"/>
  <c r="AI124" i="1"/>
  <c r="CW124" i="1" s="1"/>
  <c r="V124" i="1" s="1"/>
  <c r="AJ124" i="1"/>
  <c r="CX124" i="1" s="1"/>
  <c r="W124" i="1" s="1"/>
  <c r="CV124" i="1"/>
  <c r="U124" i="1" s="1"/>
  <c r="FR124" i="1"/>
  <c r="GL124" i="1"/>
  <c r="GN124" i="1"/>
  <c r="GO124" i="1"/>
  <c r="GV124" i="1"/>
  <c r="HC124" i="1" s="1"/>
  <c r="GX124" i="1" s="1"/>
  <c r="D125" i="1"/>
  <c r="AC125" i="1"/>
  <c r="AE125" i="1"/>
  <c r="AF125" i="1"/>
  <c r="CT125" i="1" s="1"/>
  <c r="S125" i="1" s="1"/>
  <c r="CZ125" i="1" s="1"/>
  <c r="Y125" i="1" s="1"/>
  <c r="AG125" i="1"/>
  <c r="CU125" i="1" s="1"/>
  <c r="T125" i="1" s="1"/>
  <c r="AH125" i="1"/>
  <c r="AI125" i="1"/>
  <c r="CW125" i="1" s="1"/>
  <c r="V125" i="1" s="1"/>
  <c r="AJ125" i="1"/>
  <c r="CV125" i="1"/>
  <c r="U125" i="1" s="1"/>
  <c r="CX125" i="1"/>
  <c r="W125" i="1" s="1"/>
  <c r="FR125" i="1"/>
  <c r="GL125" i="1"/>
  <c r="GN125" i="1"/>
  <c r="GO125" i="1"/>
  <c r="GV125" i="1"/>
  <c r="HC125" i="1" s="1"/>
  <c r="GX125" i="1" s="1"/>
  <c r="D126" i="1"/>
  <c r="I126" i="1"/>
  <c r="K126" i="1"/>
  <c r="AC126" i="1"/>
  <c r="CQ126" i="1" s="1"/>
  <c r="AE126" i="1"/>
  <c r="AF126" i="1"/>
  <c r="AG126" i="1"/>
  <c r="CU126" i="1" s="1"/>
  <c r="T126" i="1" s="1"/>
  <c r="AH126" i="1"/>
  <c r="CV126" i="1" s="1"/>
  <c r="AI126" i="1"/>
  <c r="CW126" i="1" s="1"/>
  <c r="V126" i="1" s="1"/>
  <c r="AJ126" i="1"/>
  <c r="CX126" i="1" s="1"/>
  <c r="FR126" i="1"/>
  <c r="GL126" i="1"/>
  <c r="GN126" i="1"/>
  <c r="GO126" i="1"/>
  <c r="GV126" i="1"/>
  <c r="HC126" i="1" s="1"/>
  <c r="D127" i="1"/>
  <c r="I127" i="1"/>
  <c r="I128" i="1" s="1"/>
  <c r="K127" i="1"/>
  <c r="AC127" i="1"/>
  <c r="AE127" i="1"/>
  <c r="AF127" i="1"/>
  <c r="AG127" i="1"/>
  <c r="CU127" i="1" s="1"/>
  <c r="AH127" i="1"/>
  <c r="CV127" i="1" s="1"/>
  <c r="U127" i="1" s="1"/>
  <c r="AI127" i="1"/>
  <c r="CW127" i="1" s="1"/>
  <c r="V127" i="1" s="1"/>
  <c r="AJ127" i="1"/>
  <c r="CX127" i="1" s="1"/>
  <c r="W127" i="1" s="1"/>
  <c r="CQ127" i="1"/>
  <c r="P127" i="1" s="1"/>
  <c r="CR127" i="1"/>
  <c r="Q127" i="1" s="1"/>
  <c r="CS127" i="1"/>
  <c r="FR127" i="1"/>
  <c r="GL127" i="1"/>
  <c r="GN127" i="1"/>
  <c r="GO127" i="1"/>
  <c r="GV127" i="1"/>
  <c r="HC127" i="1" s="1"/>
  <c r="W128" i="1"/>
  <c r="AC128" i="1"/>
  <c r="CQ128" i="1" s="1"/>
  <c r="AD128" i="1"/>
  <c r="AE128" i="1"/>
  <c r="CR128" i="1" s="1"/>
  <c r="AF128" i="1"/>
  <c r="AG128" i="1"/>
  <c r="AH128" i="1"/>
  <c r="AI128" i="1"/>
  <c r="AJ128" i="1"/>
  <c r="CT128" i="1"/>
  <c r="CU128" i="1"/>
  <c r="T128" i="1" s="1"/>
  <c r="CV128" i="1"/>
  <c r="U128" i="1" s="1"/>
  <c r="CW128" i="1"/>
  <c r="CX128" i="1"/>
  <c r="FR128" i="1"/>
  <c r="GL128" i="1"/>
  <c r="GN128" i="1"/>
  <c r="GO128" i="1"/>
  <c r="GV128" i="1"/>
  <c r="HC128" i="1"/>
  <c r="D129" i="1"/>
  <c r="AC129" i="1"/>
  <c r="CQ129" i="1" s="1"/>
  <c r="P129" i="1" s="1"/>
  <c r="AE129" i="1"/>
  <c r="AF129" i="1"/>
  <c r="AG129" i="1"/>
  <c r="CU129" i="1" s="1"/>
  <c r="T129" i="1" s="1"/>
  <c r="AH129" i="1"/>
  <c r="CV129" i="1" s="1"/>
  <c r="U129" i="1" s="1"/>
  <c r="AI129" i="1"/>
  <c r="CW129" i="1" s="1"/>
  <c r="V129" i="1" s="1"/>
  <c r="AJ129" i="1"/>
  <c r="CX129" i="1" s="1"/>
  <c r="W129" i="1" s="1"/>
  <c r="FR129" i="1"/>
  <c r="GL129" i="1"/>
  <c r="GN129" i="1"/>
  <c r="GO129" i="1"/>
  <c r="GV129" i="1"/>
  <c r="HC129" i="1" s="1"/>
  <c r="GX129" i="1"/>
  <c r="D131" i="1"/>
  <c r="AC131" i="1"/>
  <c r="CQ131" i="1" s="1"/>
  <c r="P131" i="1" s="1"/>
  <c r="AD131" i="1"/>
  <c r="AE131" i="1"/>
  <c r="AF131" i="1"/>
  <c r="AG131" i="1"/>
  <c r="CU131" i="1" s="1"/>
  <c r="T131" i="1" s="1"/>
  <c r="AH131" i="1"/>
  <c r="CV131" i="1" s="1"/>
  <c r="U131" i="1" s="1"/>
  <c r="AI131" i="1"/>
  <c r="CW131" i="1" s="1"/>
  <c r="V131" i="1" s="1"/>
  <c r="AJ131" i="1"/>
  <c r="CX131" i="1" s="1"/>
  <c r="W131" i="1" s="1"/>
  <c r="CR131" i="1"/>
  <c r="Q131" i="1" s="1"/>
  <c r="CS131" i="1"/>
  <c r="R131" i="1" s="1"/>
  <c r="GK131" i="1" s="1"/>
  <c r="CT131" i="1"/>
  <c r="S131" i="1" s="1"/>
  <c r="CZ131" i="1" s="1"/>
  <c r="Y131" i="1" s="1"/>
  <c r="FR131" i="1"/>
  <c r="GL131" i="1"/>
  <c r="GN131" i="1"/>
  <c r="GO131" i="1"/>
  <c r="GV131" i="1"/>
  <c r="HC131" i="1" s="1"/>
  <c r="GX131" i="1" s="1"/>
  <c r="P132" i="1"/>
  <c r="AC132" i="1"/>
  <c r="CQ132" i="1" s="1"/>
  <c r="AD132" i="1"/>
  <c r="AE132" i="1"/>
  <c r="AF132" i="1"/>
  <c r="CT132" i="1" s="1"/>
  <c r="S132" i="1" s="1"/>
  <c r="AG132" i="1"/>
  <c r="AH132" i="1"/>
  <c r="CV132" i="1" s="1"/>
  <c r="U132" i="1" s="1"/>
  <c r="AI132" i="1"/>
  <c r="CW132" i="1" s="1"/>
  <c r="V132" i="1" s="1"/>
  <c r="AJ132" i="1"/>
  <c r="CX132" i="1" s="1"/>
  <c r="W132" i="1" s="1"/>
  <c r="CR132" i="1"/>
  <c r="Q132" i="1" s="1"/>
  <c r="CS132" i="1"/>
  <c r="R132" i="1" s="1"/>
  <c r="GK132" i="1" s="1"/>
  <c r="CU132" i="1"/>
  <c r="T132" i="1" s="1"/>
  <c r="CY132" i="1"/>
  <c r="X132" i="1" s="1"/>
  <c r="CZ132" i="1"/>
  <c r="Y132" i="1" s="1"/>
  <c r="FR132" i="1"/>
  <c r="GL132" i="1"/>
  <c r="GO132" i="1"/>
  <c r="GP132" i="1"/>
  <c r="GV132" i="1"/>
  <c r="HC132" i="1" s="1"/>
  <c r="GX132" i="1" s="1"/>
  <c r="D133" i="1"/>
  <c r="I133" i="1"/>
  <c r="T133" i="1" s="1"/>
  <c r="K133" i="1"/>
  <c r="AC133" i="1"/>
  <c r="CQ133" i="1" s="1"/>
  <c r="P133" i="1" s="1"/>
  <c r="AE133" i="1"/>
  <c r="AF133" i="1"/>
  <c r="CT133" i="1" s="1"/>
  <c r="AG133" i="1"/>
  <c r="CU133" i="1" s="1"/>
  <c r="AH133" i="1"/>
  <c r="CV133" i="1" s="1"/>
  <c r="AI133" i="1"/>
  <c r="CW133" i="1" s="1"/>
  <c r="V133" i="1" s="1"/>
  <c r="AJ133" i="1"/>
  <c r="CX133" i="1"/>
  <c r="W133" i="1" s="1"/>
  <c r="FR133" i="1"/>
  <c r="GL133" i="1"/>
  <c r="GN133" i="1"/>
  <c r="GO133" i="1"/>
  <c r="GV133" i="1"/>
  <c r="HC133" i="1" s="1"/>
  <c r="GX133" i="1" s="1"/>
  <c r="D134" i="1"/>
  <c r="I134" i="1"/>
  <c r="K134" i="1"/>
  <c r="AC134" i="1"/>
  <c r="CQ134" i="1" s="1"/>
  <c r="P134" i="1" s="1"/>
  <c r="AE134" i="1"/>
  <c r="AF134" i="1"/>
  <c r="AG134" i="1"/>
  <c r="CU134" i="1" s="1"/>
  <c r="T134" i="1" s="1"/>
  <c r="AH134" i="1"/>
  <c r="CV134" i="1" s="1"/>
  <c r="U134" i="1" s="1"/>
  <c r="AI134" i="1"/>
  <c r="CW134" i="1" s="1"/>
  <c r="V134" i="1" s="1"/>
  <c r="AJ134" i="1"/>
  <c r="CX134" i="1"/>
  <c r="W134" i="1" s="1"/>
  <c r="FR134" i="1"/>
  <c r="GL134" i="1"/>
  <c r="GN134" i="1"/>
  <c r="GO134" i="1"/>
  <c r="GV134" i="1"/>
  <c r="HC134" i="1" s="1"/>
  <c r="GX134" i="1" s="1"/>
  <c r="D135" i="1"/>
  <c r="I135" i="1"/>
  <c r="K135" i="1"/>
  <c r="AC135" i="1"/>
  <c r="AD135" i="1"/>
  <c r="AE135" i="1"/>
  <c r="AF135" i="1"/>
  <c r="AG135" i="1"/>
  <c r="AH135" i="1"/>
  <c r="CV135" i="1" s="1"/>
  <c r="U135" i="1" s="1"/>
  <c r="AI135" i="1"/>
  <c r="CW135" i="1" s="1"/>
  <c r="V135" i="1" s="1"/>
  <c r="AJ135" i="1"/>
  <c r="CX135" i="1" s="1"/>
  <c r="W135" i="1" s="1"/>
  <c r="CQ135" i="1"/>
  <c r="CR135" i="1"/>
  <c r="CS135" i="1"/>
  <c r="CU135" i="1"/>
  <c r="FR135" i="1"/>
  <c r="GL135" i="1"/>
  <c r="GN135" i="1"/>
  <c r="GO135" i="1"/>
  <c r="GV135" i="1"/>
  <c r="HC135" i="1" s="1"/>
  <c r="GX135" i="1" s="1"/>
  <c r="D136" i="1"/>
  <c r="AC136" i="1"/>
  <c r="CQ136" i="1" s="1"/>
  <c r="P136" i="1" s="1"/>
  <c r="AD136" i="1"/>
  <c r="AE136" i="1"/>
  <c r="AF136" i="1"/>
  <c r="AG136" i="1"/>
  <c r="AH136" i="1"/>
  <c r="AI136" i="1"/>
  <c r="CW136" i="1" s="1"/>
  <c r="V136" i="1" s="1"/>
  <c r="AJ136" i="1"/>
  <c r="CX136" i="1" s="1"/>
  <c r="W136" i="1" s="1"/>
  <c r="CR136" i="1"/>
  <c r="Q136" i="1" s="1"/>
  <c r="CT136" i="1"/>
  <c r="S136" i="1" s="1"/>
  <c r="CU136" i="1"/>
  <c r="T136" i="1" s="1"/>
  <c r="CV136" i="1"/>
  <c r="U136" i="1" s="1"/>
  <c r="FR136" i="1"/>
  <c r="GL136" i="1"/>
  <c r="GN136" i="1"/>
  <c r="GO136" i="1"/>
  <c r="GV136" i="1"/>
  <c r="HC136" i="1"/>
  <c r="GX136" i="1" s="1"/>
  <c r="D137" i="1"/>
  <c r="P137" i="1"/>
  <c r="T137" i="1"/>
  <c r="U137" i="1"/>
  <c r="AC137" i="1"/>
  <c r="AE137" i="1"/>
  <c r="AF137" i="1"/>
  <c r="AG137" i="1"/>
  <c r="CU137" i="1" s="1"/>
  <c r="AH137" i="1"/>
  <c r="CV137" i="1" s="1"/>
  <c r="AI137" i="1"/>
  <c r="CW137" i="1" s="1"/>
  <c r="V137" i="1" s="1"/>
  <c r="AJ137" i="1"/>
  <c r="CQ137" i="1"/>
  <c r="CR137" i="1"/>
  <c r="Q137" i="1" s="1"/>
  <c r="CT137" i="1"/>
  <c r="S137" i="1" s="1"/>
  <c r="CX137" i="1"/>
  <c r="W137" i="1" s="1"/>
  <c r="FR137" i="1"/>
  <c r="GL137" i="1"/>
  <c r="GN137" i="1"/>
  <c r="GO137" i="1"/>
  <c r="GV137" i="1"/>
  <c r="HC137" i="1"/>
  <c r="GX137" i="1" s="1"/>
  <c r="D138" i="1"/>
  <c r="U138" i="1"/>
  <c r="V138" i="1"/>
  <c r="W138" i="1"/>
  <c r="AC138" i="1"/>
  <c r="CQ138" i="1" s="1"/>
  <c r="P138" i="1" s="1"/>
  <c r="AE138" i="1"/>
  <c r="AF138" i="1"/>
  <c r="AG138" i="1"/>
  <c r="AH138" i="1"/>
  <c r="AI138" i="1"/>
  <c r="CW138" i="1" s="1"/>
  <c r="AJ138" i="1"/>
  <c r="CR138" i="1"/>
  <c r="Q138" i="1" s="1"/>
  <c r="CS138" i="1"/>
  <c r="CT138" i="1"/>
  <c r="S138" i="1" s="1"/>
  <c r="CU138" i="1"/>
  <c r="T138" i="1" s="1"/>
  <c r="CV138" i="1"/>
  <c r="CX138" i="1"/>
  <c r="FR138" i="1"/>
  <c r="GL138" i="1"/>
  <c r="GN138" i="1"/>
  <c r="GO138" i="1"/>
  <c r="GV138" i="1"/>
  <c r="HC138" i="1"/>
  <c r="GX138" i="1" s="1"/>
  <c r="D139" i="1"/>
  <c r="AC139" i="1"/>
  <c r="AE139" i="1"/>
  <c r="AF139" i="1"/>
  <c r="CT139" i="1" s="1"/>
  <c r="S139" i="1" s="1"/>
  <c r="CY139" i="1" s="1"/>
  <c r="X139" i="1" s="1"/>
  <c r="AG139" i="1"/>
  <c r="CU139" i="1" s="1"/>
  <c r="T139" i="1" s="1"/>
  <c r="AH139" i="1"/>
  <c r="CV139" i="1" s="1"/>
  <c r="U139" i="1" s="1"/>
  <c r="AI139" i="1"/>
  <c r="CW139" i="1" s="1"/>
  <c r="V139" i="1" s="1"/>
  <c r="AJ139" i="1"/>
  <c r="CX139" i="1" s="1"/>
  <c r="W139" i="1" s="1"/>
  <c r="FR139" i="1"/>
  <c r="GL139" i="1"/>
  <c r="GN139" i="1"/>
  <c r="GO139" i="1"/>
  <c r="GV139" i="1"/>
  <c r="HC139" i="1" s="1"/>
  <c r="GX139" i="1" s="1"/>
  <c r="D140" i="1"/>
  <c r="AC140" i="1"/>
  <c r="AE140" i="1"/>
  <c r="AF140" i="1"/>
  <c r="AG140" i="1"/>
  <c r="CU140" i="1" s="1"/>
  <c r="T140" i="1" s="1"/>
  <c r="AH140" i="1"/>
  <c r="CV140" i="1" s="1"/>
  <c r="U140" i="1" s="1"/>
  <c r="AI140" i="1"/>
  <c r="CW140" i="1" s="1"/>
  <c r="V140" i="1" s="1"/>
  <c r="AJ140" i="1"/>
  <c r="CX140" i="1" s="1"/>
  <c r="W140" i="1" s="1"/>
  <c r="CQ140" i="1"/>
  <c r="P140" i="1" s="1"/>
  <c r="FR140" i="1"/>
  <c r="GL140" i="1"/>
  <c r="GN140" i="1"/>
  <c r="GO140" i="1"/>
  <c r="GV140" i="1"/>
  <c r="HC140" i="1" s="1"/>
  <c r="GX140" i="1" s="1"/>
  <c r="D141" i="1"/>
  <c r="AC141" i="1"/>
  <c r="CQ141" i="1" s="1"/>
  <c r="P141" i="1" s="1"/>
  <c r="AE141" i="1"/>
  <c r="AF141" i="1"/>
  <c r="AG141" i="1"/>
  <c r="CU141" i="1" s="1"/>
  <c r="T141" i="1" s="1"/>
  <c r="AH141" i="1"/>
  <c r="CV141" i="1" s="1"/>
  <c r="U141" i="1" s="1"/>
  <c r="AI141" i="1"/>
  <c r="CW141" i="1" s="1"/>
  <c r="V141" i="1" s="1"/>
  <c r="AJ141" i="1"/>
  <c r="CX141" i="1"/>
  <c r="W141" i="1" s="1"/>
  <c r="FR141" i="1"/>
  <c r="GL141" i="1"/>
  <c r="GN141" i="1"/>
  <c r="GO141" i="1"/>
  <c r="GV141" i="1"/>
  <c r="HC141" i="1" s="1"/>
  <c r="GX141" i="1" s="1"/>
  <c r="D142" i="1"/>
  <c r="I142" i="1"/>
  <c r="K142" i="1"/>
  <c r="W142" i="1"/>
  <c r="AC142" i="1"/>
  <c r="CQ142" i="1" s="1"/>
  <c r="P142" i="1" s="1"/>
  <c r="AE142" i="1"/>
  <c r="AF142" i="1"/>
  <c r="AG142" i="1"/>
  <c r="CU142" i="1" s="1"/>
  <c r="T142" i="1" s="1"/>
  <c r="AH142" i="1"/>
  <c r="CV142" i="1" s="1"/>
  <c r="U142" i="1" s="1"/>
  <c r="AI142" i="1"/>
  <c r="CW142" i="1" s="1"/>
  <c r="V142" i="1" s="1"/>
  <c r="AJ142" i="1"/>
  <c r="CX142" i="1" s="1"/>
  <c r="FR142" i="1"/>
  <c r="GL142" i="1"/>
  <c r="GN142" i="1"/>
  <c r="GO142" i="1"/>
  <c r="GV142" i="1"/>
  <c r="HC142" i="1"/>
  <c r="GX142" i="1" s="1"/>
  <c r="D143" i="1"/>
  <c r="I143" i="1"/>
  <c r="K143" i="1"/>
  <c r="AC143" i="1"/>
  <c r="AE143" i="1"/>
  <c r="AF143" i="1"/>
  <c r="AG143" i="1"/>
  <c r="CU143" i="1" s="1"/>
  <c r="T143" i="1" s="1"/>
  <c r="AH143" i="1"/>
  <c r="CV143" i="1" s="1"/>
  <c r="U143" i="1" s="1"/>
  <c r="AI143" i="1"/>
  <c r="CW143" i="1" s="1"/>
  <c r="V143" i="1" s="1"/>
  <c r="AJ143" i="1"/>
  <c r="CT143" i="1"/>
  <c r="CX143" i="1"/>
  <c r="W143" i="1" s="1"/>
  <c r="FR143" i="1"/>
  <c r="GL143" i="1"/>
  <c r="GN143" i="1"/>
  <c r="GO143" i="1"/>
  <c r="GV143" i="1"/>
  <c r="HC143" i="1" s="1"/>
  <c r="GX143" i="1" s="1"/>
  <c r="D144" i="1"/>
  <c r="I144" i="1"/>
  <c r="K144" i="1"/>
  <c r="AC144" i="1"/>
  <c r="AE144" i="1"/>
  <c r="AF144" i="1"/>
  <c r="AG144" i="1"/>
  <c r="CU144" i="1" s="1"/>
  <c r="AH144" i="1"/>
  <c r="CV144" i="1" s="1"/>
  <c r="AI144" i="1"/>
  <c r="AJ144" i="1"/>
  <c r="CX144" i="1" s="1"/>
  <c r="CQ144" i="1"/>
  <c r="CT144" i="1"/>
  <c r="CW144" i="1"/>
  <c r="FR144" i="1"/>
  <c r="GL144" i="1"/>
  <c r="GN144" i="1"/>
  <c r="GO144" i="1"/>
  <c r="GV144" i="1"/>
  <c r="HC144" i="1" s="1"/>
  <c r="D145" i="1"/>
  <c r="I145" i="1"/>
  <c r="K145" i="1"/>
  <c r="Q145" i="1"/>
  <c r="W145" i="1"/>
  <c r="AC145" i="1"/>
  <c r="CQ145" i="1" s="1"/>
  <c r="P145" i="1" s="1"/>
  <c r="AE145" i="1"/>
  <c r="AF145" i="1"/>
  <c r="AG145" i="1"/>
  <c r="CU145" i="1" s="1"/>
  <c r="AH145" i="1"/>
  <c r="AI145" i="1"/>
  <c r="AJ145" i="1"/>
  <c r="CX145" i="1" s="1"/>
  <c r="CR145" i="1"/>
  <c r="CS145" i="1"/>
  <c r="CT145" i="1"/>
  <c r="S145" i="1" s="1"/>
  <c r="CV145" i="1"/>
  <c r="U145" i="1" s="1"/>
  <c r="CW145" i="1"/>
  <c r="V145" i="1" s="1"/>
  <c r="FR145" i="1"/>
  <c r="GL145" i="1"/>
  <c r="GN145" i="1"/>
  <c r="GO145" i="1"/>
  <c r="GV145" i="1"/>
  <c r="HC145" i="1"/>
  <c r="GX145" i="1" s="1"/>
  <c r="I146" i="1"/>
  <c r="AC146" i="1"/>
  <c r="CQ146" i="1" s="1"/>
  <c r="AE146" i="1"/>
  <c r="AF146" i="1"/>
  <c r="AG146" i="1"/>
  <c r="CU146" i="1" s="1"/>
  <c r="AH146" i="1"/>
  <c r="AI146" i="1"/>
  <c r="AJ146" i="1"/>
  <c r="CV146" i="1"/>
  <c r="CW146" i="1"/>
  <c r="CX146" i="1"/>
  <c r="W146" i="1" s="1"/>
  <c r="FR146" i="1"/>
  <c r="GL146" i="1"/>
  <c r="GN146" i="1"/>
  <c r="GO146" i="1"/>
  <c r="GV146" i="1"/>
  <c r="HC146" i="1" s="1"/>
  <c r="GX146" i="1" s="1"/>
  <c r="D148" i="1"/>
  <c r="AC148" i="1"/>
  <c r="CQ148" i="1" s="1"/>
  <c r="P148" i="1" s="1"/>
  <c r="AE148" i="1"/>
  <c r="AF148" i="1"/>
  <c r="CT148" i="1" s="1"/>
  <c r="S148" i="1" s="1"/>
  <c r="AG148" i="1"/>
  <c r="CU148" i="1" s="1"/>
  <c r="T148" i="1" s="1"/>
  <c r="AH148" i="1"/>
  <c r="CV148" i="1" s="1"/>
  <c r="U148" i="1" s="1"/>
  <c r="AI148" i="1"/>
  <c r="CW148" i="1" s="1"/>
  <c r="V148" i="1" s="1"/>
  <c r="AJ148" i="1"/>
  <c r="CX148" i="1" s="1"/>
  <c r="W148" i="1" s="1"/>
  <c r="FR148" i="1"/>
  <c r="GL148" i="1"/>
  <c r="GN148" i="1"/>
  <c r="GO148" i="1"/>
  <c r="GV148" i="1"/>
  <c r="HC148" i="1" s="1"/>
  <c r="GX148" i="1" s="1"/>
  <c r="AC149" i="1"/>
  <c r="CQ149" i="1" s="1"/>
  <c r="P149" i="1" s="1"/>
  <c r="AD149" i="1"/>
  <c r="CR149" i="1" s="1"/>
  <c r="Q149" i="1" s="1"/>
  <c r="AE149" i="1"/>
  <c r="AF149" i="1"/>
  <c r="CT149" i="1" s="1"/>
  <c r="S149" i="1" s="1"/>
  <c r="AG149" i="1"/>
  <c r="CU149" i="1" s="1"/>
  <c r="T149" i="1" s="1"/>
  <c r="AH149" i="1"/>
  <c r="CV149" i="1" s="1"/>
  <c r="U149" i="1" s="1"/>
  <c r="AI149" i="1"/>
  <c r="AJ149" i="1"/>
  <c r="CX149" i="1" s="1"/>
  <c r="W149" i="1" s="1"/>
  <c r="CS149" i="1"/>
  <c r="R149" i="1" s="1"/>
  <c r="GK149" i="1" s="1"/>
  <c r="CW149" i="1"/>
  <c r="V149" i="1" s="1"/>
  <c r="CY149" i="1"/>
  <c r="X149" i="1" s="1"/>
  <c r="CZ149" i="1"/>
  <c r="Y149" i="1" s="1"/>
  <c r="FR149" i="1"/>
  <c r="GL149" i="1"/>
  <c r="GO149" i="1"/>
  <c r="GP149" i="1"/>
  <c r="GV149" i="1"/>
  <c r="HC149" i="1"/>
  <c r="GX149" i="1" s="1"/>
  <c r="D150" i="1"/>
  <c r="I150" i="1"/>
  <c r="U150" i="1" s="1"/>
  <c r="K150" i="1"/>
  <c r="AC150" i="1"/>
  <c r="CQ150" i="1" s="1"/>
  <c r="AE150" i="1"/>
  <c r="AF150" i="1"/>
  <c r="CT150" i="1" s="1"/>
  <c r="AG150" i="1"/>
  <c r="CU150" i="1" s="1"/>
  <c r="AH150" i="1"/>
  <c r="CV150" i="1" s="1"/>
  <c r="AI150" i="1"/>
  <c r="CW150" i="1" s="1"/>
  <c r="AJ150" i="1"/>
  <c r="CX150" i="1" s="1"/>
  <c r="FR150" i="1"/>
  <c r="GL150" i="1"/>
  <c r="GN150" i="1"/>
  <c r="GO150" i="1"/>
  <c r="GV150" i="1"/>
  <c r="HC150" i="1" s="1"/>
  <c r="GX150" i="1" s="1"/>
  <c r="D151" i="1"/>
  <c r="AC151" i="1"/>
  <c r="CQ151" i="1" s="1"/>
  <c r="P151" i="1" s="1"/>
  <c r="AE151" i="1"/>
  <c r="AF151" i="1"/>
  <c r="AG151" i="1"/>
  <c r="CU151" i="1" s="1"/>
  <c r="T151" i="1" s="1"/>
  <c r="AH151" i="1"/>
  <c r="CV151" i="1" s="1"/>
  <c r="U151" i="1" s="1"/>
  <c r="AI151" i="1"/>
  <c r="AJ151" i="1"/>
  <c r="CX151" i="1" s="1"/>
  <c r="W151" i="1" s="1"/>
  <c r="CW151" i="1"/>
  <c r="V151" i="1" s="1"/>
  <c r="FR151" i="1"/>
  <c r="GL151" i="1"/>
  <c r="GN151" i="1"/>
  <c r="GO151" i="1"/>
  <c r="GV151" i="1"/>
  <c r="HC151" i="1" s="1"/>
  <c r="GX151" i="1" s="1"/>
  <c r="D152" i="1"/>
  <c r="AC152" i="1"/>
  <c r="AE152" i="1"/>
  <c r="AF152" i="1"/>
  <c r="AG152" i="1"/>
  <c r="CU152" i="1" s="1"/>
  <c r="T152" i="1" s="1"/>
  <c r="AH152" i="1"/>
  <c r="CV152" i="1" s="1"/>
  <c r="U152" i="1" s="1"/>
  <c r="AI152" i="1"/>
  <c r="CW152" i="1" s="1"/>
  <c r="V152" i="1" s="1"/>
  <c r="AJ152" i="1"/>
  <c r="CX152" i="1" s="1"/>
  <c r="W152" i="1" s="1"/>
  <c r="CQ152" i="1"/>
  <c r="P152" i="1" s="1"/>
  <c r="FR152" i="1"/>
  <c r="GL152" i="1"/>
  <c r="GN152" i="1"/>
  <c r="GO152" i="1"/>
  <c r="GV152" i="1"/>
  <c r="HC152" i="1" s="1"/>
  <c r="GX152" i="1" s="1"/>
  <c r="D153" i="1"/>
  <c r="I153" i="1"/>
  <c r="K153" i="1"/>
  <c r="AC153" i="1"/>
  <c r="AE153" i="1"/>
  <c r="AF153" i="1"/>
  <c r="AG153" i="1"/>
  <c r="CU153" i="1" s="1"/>
  <c r="AH153" i="1"/>
  <c r="CV153" i="1" s="1"/>
  <c r="AI153" i="1"/>
  <c r="CW153" i="1" s="1"/>
  <c r="V153" i="1" s="1"/>
  <c r="AJ153" i="1"/>
  <c r="CX153" i="1" s="1"/>
  <c r="W153" i="1" s="1"/>
  <c r="CQ153" i="1"/>
  <c r="CT153" i="1"/>
  <c r="FR153" i="1"/>
  <c r="GL153" i="1"/>
  <c r="GN153" i="1"/>
  <c r="GO153" i="1"/>
  <c r="GV153" i="1"/>
  <c r="HC153" i="1"/>
  <c r="D154" i="1"/>
  <c r="I154" i="1"/>
  <c r="K154" i="1"/>
  <c r="AC154" i="1"/>
  <c r="AE154" i="1"/>
  <c r="AF154" i="1"/>
  <c r="AG154" i="1"/>
  <c r="CU154" i="1" s="1"/>
  <c r="T154" i="1" s="1"/>
  <c r="AH154" i="1"/>
  <c r="CV154" i="1" s="1"/>
  <c r="U154" i="1" s="1"/>
  <c r="AI154" i="1"/>
  <c r="CW154" i="1" s="1"/>
  <c r="V154" i="1" s="1"/>
  <c r="AJ154" i="1"/>
  <c r="CR154" i="1"/>
  <c r="Q154" i="1" s="1"/>
  <c r="CX154" i="1"/>
  <c r="W154" i="1" s="1"/>
  <c r="FR154" i="1"/>
  <c r="GL154" i="1"/>
  <c r="GN154" i="1"/>
  <c r="GO154" i="1"/>
  <c r="GV154" i="1"/>
  <c r="HC154" i="1"/>
  <c r="GX154" i="1" s="1"/>
  <c r="D155" i="1"/>
  <c r="AC155" i="1"/>
  <c r="AE155" i="1"/>
  <c r="AF155" i="1"/>
  <c r="AG155" i="1"/>
  <c r="CU155" i="1" s="1"/>
  <c r="T155" i="1" s="1"/>
  <c r="AH155" i="1"/>
  <c r="AI155" i="1"/>
  <c r="CW155" i="1" s="1"/>
  <c r="V155" i="1" s="1"/>
  <c r="AJ155" i="1"/>
  <c r="CX155" i="1" s="1"/>
  <c r="W155" i="1" s="1"/>
  <c r="CQ155" i="1"/>
  <c r="P155" i="1" s="1"/>
  <c r="CV155" i="1"/>
  <c r="U155" i="1" s="1"/>
  <c r="FR155" i="1"/>
  <c r="GL155" i="1"/>
  <c r="GN155" i="1"/>
  <c r="GO155" i="1"/>
  <c r="GV155" i="1"/>
  <c r="HC155" i="1" s="1"/>
  <c r="GX155" i="1" s="1"/>
  <c r="D156" i="1"/>
  <c r="P156" i="1"/>
  <c r="S156" i="1"/>
  <c r="AC156" i="1"/>
  <c r="AE156" i="1"/>
  <c r="AD156" i="1" s="1"/>
  <c r="AB156" i="1" s="1"/>
  <c r="AF156" i="1"/>
  <c r="AG156" i="1"/>
  <c r="CU156" i="1" s="1"/>
  <c r="T156" i="1" s="1"/>
  <c r="AH156" i="1"/>
  <c r="CV156" i="1" s="1"/>
  <c r="U156" i="1" s="1"/>
  <c r="AI156" i="1"/>
  <c r="CW156" i="1" s="1"/>
  <c r="V156" i="1" s="1"/>
  <c r="AJ156" i="1"/>
  <c r="CX156" i="1" s="1"/>
  <c r="W156" i="1" s="1"/>
  <c r="CQ156" i="1"/>
  <c r="CT156" i="1"/>
  <c r="FR156" i="1"/>
  <c r="GL156" i="1"/>
  <c r="GN156" i="1"/>
  <c r="GO156" i="1"/>
  <c r="GV156" i="1"/>
  <c r="HC156" i="1"/>
  <c r="GX156" i="1" s="1"/>
  <c r="D157" i="1"/>
  <c r="AC157" i="1"/>
  <c r="CQ157" i="1" s="1"/>
  <c r="P157" i="1" s="1"/>
  <c r="AE157" i="1"/>
  <c r="AF157" i="1"/>
  <c r="AG157" i="1"/>
  <c r="CU157" i="1" s="1"/>
  <c r="T157" i="1" s="1"/>
  <c r="AH157" i="1"/>
  <c r="CV157" i="1" s="1"/>
  <c r="U157" i="1" s="1"/>
  <c r="AI157" i="1"/>
  <c r="CW157" i="1" s="1"/>
  <c r="V157" i="1" s="1"/>
  <c r="AJ157" i="1"/>
  <c r="CX157" i="1"/>
  <c r="W157" i="1" s="1"/>
  <c r="FR157" i="1"/>
  <c r="GL157" i="1"/>
  <c r="GN157" i="1"/>
  <c r="GO157" i="1"/>
  <c r="GV157" i="1"/>
  <c r="HC157" i="1" s="1"/>
  <c r="GX157" i="1" s="1"/>
  <c r="D158" i="1"/>
  <c r="T158" i="1"/>
  <c r="U158" i="1"/>
  <c r="AC158" i="1"/>
  <c r="AE158" i="1"/>
  <c r="AF158" i="1"/>
  <c r="AG158" i="1"/>
  <c r="CU158" i="1" s="1"/>
  <c r="AH158" i="1"/>
  <c r="AI158" i="1"/>
  <c r="CW158" i="1" s="1"/>
  <c r="V158" i="1" s="1"/>
  <c r="AJ158" i="1"/>
  <c r="CR158" i="1"/>
  <c r="Q158" i="1" s="1"/>
  <c r="CV158" i="1"/>
  <c r="CX158" i="1"/>
  <c r="W158" i="1" s="1"/>
  <c r="FR158" i="1"/>
  <c r="GL158" i="1"/>
  <c r="GN158" i="1"/>
  <c r="GO158" i="1"/>
  <c r="GV158" i="1"/>
  <c r="HC158" i="1" s="1"/>
  <c r="GX158" i="1" s="1"/>
  <c r="D159" i="1"/>
  <c r="I159" i="1"/>
  <c r="K159" i="1"/>
  <c r="Q159" i="1"/>
  <c r="AC159" i="1"/>
  <c r="AE159" i="1"/>
  <c r="AF159" i="1"/>
  <c r="AG159" i="1"/>
  <c r="AH159" i="1"/>
  <c r="CV159" i="1" s="1"/>
  <c r="AI159" i="1"/>
  <c r="CW159" i="1" s="1"/>
  <c r="V159" i="1" s="1"/>
  <c r="AJ159" i="1"/>
  <c r="CX159" i="1" s="1"/>
  <c r="W159" i="1" s="1"/>
  <c r="CQ159" i="1"/>
  <c r="P159" i="1" s="1"/>
  <c r="CR159" i="1"/>
  <c r="CS159" i="1"/>
  <c r="CU159" i="1"/>
  <c r="T159" i="1" s="1"/>
  <c r="FR159" i="1"/>
  <c r="GL159" i="1"/>
  <c r="GN159" i="1"/>
  <c r="GO159" i="1"/>
  <c r="GV159" i="1"/>
  <c r="HC159" i="1"/>
  <c r="GX159" i="1" s="1"/>
  <c r="D160" i="1"/>
  <c r="I160" i="1"/>
  <c r="K160" i="1"/>
  <c r="AC160" i="1"/>
  <c r="AE160" i="1"/>
  <c r="AF160" i="1"/>
  <c r="AG160" i="1"/>
  <c r="AH160" i="1"/>
  <c r="AI160" i="1"/>
  <c r="AJ160" i="1"/>
  <c r="CX160" i="1" s="1"/>
  <c r="CU160" i="1"/>
  <c r="CV160" i="1"/>
  <c r="CW160" i="1"/>
  <c r="V160" i="1" s="1"/>
  <c r="FR160" i="1"/>
  <c r="GL160" i="1"/>
  <c r="GN160" i="1"/>
  <c r="GO160" i="1"/>
  <c r="GV160" i="1"/>
  <c r="HC160" i="1"/>
  <c r="D161" i="1"/>
  <c r="I161" i="1"/>
  <c r="K161" i="1"/>
  <c r="U161" i="1"/>
  <c r="AC161" i="1"/>
  <c r="AE161" i="1"/>
  <c r="AF161" i="1"/>
  <c r="AG161" i="1"/>
  <c r="AH161" i="1"/>
  <c r="AI161" i="1"/>
  <c r="CW161" i="1" s="1"/>
  <c r="AJ161" i="1"/>
  <c r="CX161" i="1" s="1"/>
  <c r="W161" i="1" s="1"/>
  <c r="CT161" i="1"/>
  <c r="S161" i="1" s="1"/>
  <c r="CU161" i="1"/>
  <c r="T161" i="1" s="1"/>
  <c r="CV161" i="1"/>
  <c r="FR161" i="1"/>
  <c r="GL161" i="1"/>
  <c r="GN161" i="1"/>
  <c r="GO161" i="1"/>
  <c r="GV161" i="1"/>
  <c r="HC161" i="1" s="1"/>
  <c r="GX161" i="1" s="1"/>
  <c r="I162" i="1"/>
  <c r="S162" i="1"/>
  <c r="AC162" i="1"/>
  <c r="AE162" i="1"/>
  <c r="AF162" i="1"/>
  <c r="AG162" i="1"/>
  <c r="CU162" i="1" s="1"/>
  <c r="T162" i="1" s="1"/>
  <c r="AH162" i="1"/>
  <c r="CV162" i="1" s="1"/>
  <c r="U162" i="1" s="1"/>
  <c r="AI162" i="1"/>
  <c r="CW162" i="1" s="1"/>
  <c r="V162" i="1" s="1"/>
  <c r="AJ162" i="1"/>
  <c r="CX162" i="1" s="1"/>
  <c r="W162" i="1" s="1"/>
  <c r="CQ162" i="1"/>
  <c r="P162" i="1" s="1"/>
  <c r="CT162" i="1"/>
  <c r="FR162" i="1"/>
  <c r="GL162" i="1"/>
  <c r="GN162" i="1"/>
  <c r="GO162" i="1"/>
  <c r="GV162" i="1"/>
  <c r="HC162" i="1"/>
  <c r="GX162" i="1" s="1"/>
  <c r="D163" i="1"/>
  <c r="I163" i="1"/>
  <c r="K163" i="1"/>
  <c r="R163" i="1"/>
  <c r="AC163" i="1"/>
  <c r="AE163" i="1"/>
  <c r="AF163" i="1"/>
  <c r="AG163" i="1"/>
  <c r="CU163" i="1" s="1"/>
  <c r="T163" i="1" s="1"/>
  <c r="AH163" i="1"/>
  <c r="CV163" i="1" s="1"/>
  <c r="U163" i="1" s="1"/>
  <c r="AI163" i="1"/>
  <c r="CW163" i="1" s="1"/>
  <c r="V163" i="1" s="1"/>
  <c r="AJ163" i="1"/>
  <c r="CX163" i="1" s="1"/>
  <c r="W163" i="1" s="1"/>
  <c r="CR163" i="1"/>
  <c r="Q163" i="1" s="1"/>
  <c r="CS163" i="1"/>
  <c r="FR163" i="1"/>
  <c r="GK163" i="1"/>
  <c r="GL163" i="1"/>
  <c r="GN163" i="1"/>
  <c r="GO163" i="1"/>
  <c r="GV163" i="1"/>
  <c r="HC163" i="1" s="1"/>
  <c r="GX163" i="1" s="1"/>
  <c r="D164" i="1"/>
  <c r="I164" i="1"/>
  <c r="K164" i="1"/>
  <c r="AC164" i="1"/>
  <c r="CQ164" i="1" s="1"/>
  <c r="AE164" i="1"/>
  <c r="CS164" i="1" s="1"/>
  <c r="AF164" i="1"/>
  <c r="CT164" i="1" s="1"/>
  <c r="S164" i="1" s="1"/>
  <c r="AG164" i="1"/>
  <c r="CU164" i="1" s="1"/>
  <c r="T164" i="1" s="1"/>
  <c r="AH164" i="1"/>
  <c r="CV164" i="1" s="1"/>
  <c r="U164" i="1" s="1"/>
  <c r="AI164" i="1"/>
  <c r="AJ164" i="1"/>
  <c r="CX164" i="1" s="1"/>
  <c r="W164" i="1" s="1"/>
  <c r="CR164" i="1"/>
  <c r="CW164" i="1"/>
  <c r="FR164" i="1"/>
  <c r="GL164" i="1"/>
  <c r="GN164" i="1"/>
  <c r="GO164" i="1"/>
  <c r="GV164" i="1"/>
  <c r="HC164" i="1"/>
  <c r="D165" i="1"/>
  <c r="I165" i="1"/>
  <c r="K165" i="1"/>
  <c r="AC165" i="1"/>
  <c r="CQ165" i="1" s="1"/>
  <c r="P165" i="1" s="1"/>
  <c r="AE165" i="1"/>
  <c r="AF165" i="1"/>
  <c r="AG165" i="1"/>
  <c r="CU165" i="1" s="1"/>
  <c r="AH165" i="1"/>
  <c r="CV165" i="1" s="1"/>
  <c r="AI165" i="1"/>
  <c r="CW165" i="1" s="1"/>
  <c r="V165" i="1" s="1"/>
  <c r="AJ165" i="1"/>
  <c r="CX165" i="1" s="1"/>
  <c r="W165" i="1" s="1"/>
  <c r="CS165" i="1"/>
  <c r="CT165" i="1"/>
  <c r="FR165" i="1"/>
  <c r="GL165" i="1"/>
  <c r="GN165" i="1"/>
  <c r="GO165" i="1"/>
  <c r="GV165" i="1"/>
  <c r="HC165" i="1"/>
  <c r="D166" i="1"/>
  <c r="I166" i="1"/>
  <c r="U166" i="1" s="1"/>
  <c r="K166" i="1"/>
  <c r="AC166" i="1"/>
  <c r="CQ166" i="1" s="1"/>
  <c r="AE166" i="1"/>
  <c r="AF166" i="1"/>
  <c r="AG166" i="1"/>
  <c r="AH166" i="1"/>
  <c r="CV166" i="1" s="1"/>
  <c r="AI166" i="1"/>
  <c r="CW166" i="1" s="1"/>
  <c r="V166" i="1" s="1"/>
  <c r="AJ166" i="1"/>
  <c r="CR166" i="1"/>
  <c r="CT166" i="1"/>
  <c r="CU166" i="1"/>
  <c r="T166" i="1" s="1"/>
  <c r="CX166" i="1"/>
  <c r="FR166" i="1"/>
  <c r="GL166" i="1"/>
  <c r="GN166" i="1"/>
  <c r="GO166" i="1"/>
  <c r="GV166" i="1"/>
  <c r="HC166" i="1" s="1"/>
  <c r="GX166" i="1" s="1"/>
  <c r="D167" i="1"/>
  <c r="I167" i="1"/>
  <c r="S167" i="1" s="1"/>
  <c r="K167" i="1"/>
  <c r="Q167" i="1"/>
  <c r="AC167" i="1"/>
  <c r="CQ167" i="1" s="1"/>
  <c r="P167" i="1" s="1"/>
  <c r="AE167" i="1"/>
  <c r="AD167" i="1" s="1"/>
  <c r="AF167" i="1"/>
  <c r="CT167" i="1" s="1"/>
  <c r="AG167" i="1"/>
  <c r="CU167" i="1" s="1"/>
  <c r="AH167" i="1"/>
  <c r="CV167" i="1" s="1"/>
  <c r="U167" i="1" s="1"/>
  <c r="AI167" i="1"/>
  <c r="CW167" i="1" s="1"/>
  <c r="V167" i="1" s="1"/>
  <c r="AJ167" i="1"/>
  <c r="CX167" i="1" s="1"/>
  <c r="W167" i="1" s="1"/>
  <c r="CR167" i="1"/>
  <c r="CS167" i="1"/>
  <c r="R167" i="1" s="1"/>
  <c r="GK167" i="1" s="1"/>
  <c r="FR167" i="1"/>
  <c r="GL167" i="1"/>
  <c r="GN167" i="1"/>
  <c r="GO167" i="1"/>
  <c r="GV167" i="1"/>
  <c r="HC167" i="1" s="1"/>
  <c r="GX167" i="1"/>
  <c r="B169" i="1"/>
  <c r="B109" i="1" s="1"/>
  <c r="C169" i="1"/>
  <c r="C109" i="1" s="1"/>
  <c r="D169" i="1"/>
  <c r="D109" i="1" s="1"/>
  <c r="F169" i="1"/>
  <c r="F109" i="1" s="1"/>
  <c r="G169" i="1"/>
  <c r="BX169" i="1"/>
  <c r="CK169" i="1"/>
  <c r="CK109" i="1" s="1"/>
  <c r="CL169" i="1"/>
  <c r="CL109" i="1" s="1"/>
  <c r="CM169" i="1"/>
  <c r="B199" i="1"/>
  <c r="B68" i="1" s="1"/>
  <c r="C199" i="1"/>
  <c r="C68" i="1" s="1"/>
  <c r="D199" i="1"/>
  <c r="D68" i="1" s="1"/>
  <c r="F199" i="1"/>
  <c r="F68" i="1" s="1"/>
  <c r="G199" i="1"/>
  <c r="D229" i="1"/>
  <c r="E231" i="1"/>
  <c r="Z231" i="1"/>
  <c r="AA231" i="1"/>
  <c r="AM231" i="1"/>
  <c r="AN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W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EG231" i="1"/>
  <c r="EH231" i="1"/>
  <c r="EI231" i="1"/>
  <c r="EJ231" i="1"/>
  <c r="EK231" i="1"/>
  <c r="EL231" i="1"/>
  <c r="EM231" i="1"/>
  <c r="EN231" i="1"/>
  <c r="EO231" i="1"/>
  <c r="EP231" i="1"/>
  <c r="EQ231" i="1"/>
  <c r="ER231" i="1"/>
  <c r="ES231" i="1"/>
  <c r="ET231" i="1"/>
  <c r="EU231" i="1"/>
  <c r="EV231" i="1"/>
  <c r="EW231" i="1"/>
  <c r="EX231" i="1"/>
  <c r="EY231" i="1"/>
  <c r="EZ231" i="1"/>
  <c r="FA231" i="1"/>
  <c r="FB231" i="1"/>
  <c r="FC231" i="1"/>
  <c r="FD231" i="1"/>
  <c r="FE231" i="1"/>
  <c r="FF231" i="1"/>
  <c r="FG231" i="1"/>
  <c r="FH231" i="1"/>
  <c r="FI231" i="1"/>
  <c r="FJ231" i="1"/>
  <c r="FK231" i="1"/>
  <c r="FL231" i="1"/>
  <c r="FM231" i="1"/>
  <c r="FN231" i="1"/>
  <c r="FO231" i="1"/>
  <c r="FP231" i="1"/>
  <c r="FQ231" i="1"/>
  <c r="FR231" i="1"/>
  <c r="FS231" i="1"/>
  <c r="FT231" i="1"/>
  <c r="FU231" i="1"/>
  <c r="FV231" i="1"/>
  <c r="FW231" i="1"/>
  <c r="FX231" i="1"/>
  <c r="FY231" i="1"/>
  <c r="FZ231" i="1"/>
  <c r="GA231" i="1"/>
  <c r="GB231" i="1"/>
  <c r="GC231" i="1"/>
  <c r="GD231" i="1"/>
  <c r="GE231" i="1"/>
  <c r="GF231" i="1"/>
  <c r="GG231" i="1"/>
  <c r="GH231" i="1"/>
  <c r="GI231" i="1"/>
  <c r="GJ231" i="1"/>
  <c r="GK231" i="1"/>
  <c r="GL231" i="1"/>
  <c r="GM231" i="1"/>
  <c r="GN231" i="1"/>
  <c r="GO231" i="1"/>
  <c r="GP231" i="1"/>
  <c r="GQ231" i="1"/>
  <c r="GR231" i="1"/>
  <c r="GS231" i="1"/>
  <c r="GT231" i="1"/>
  <c r="GU231" i="1"/>
  <c r="GV231" i="1"/>
  <c r="GW231" i="1"/>
  <c r="GX231" i="1"/>
  <c r="D233" i="1"/>
  <c r="V233" i="1"/>
  <c r="AC233" i="1"/>
  <c r="AE233" i="1"/>
  <c r="AF233" i="1"/>
  <c r="CT233" i="1" s="1"/>
  <c r="S233" i="1" s="1"/>
  <c r="AG233" i="1"/>
  <c r="CU233" i="1" s="1"/>
  <c r="T233" i="1" s="1"/>
  <c r="AH233" i="1"/>
  <c r="CV233" i="1" s="1"/>
  <c r="U233" i="1" s="1"/>
  <c r="AI233" i="1"/>
  <c r="CW233" i="1" s="1"/>
  <c r="AJ233" i="1"/>
  <c r="CX233" i="1" s="1"/>
  <c r="W233" i="1" s="1"/>
  <c r="FR233" i="1"/>
  <c r="GL233" i="1"/>
  <c r="GN233" i="1"/>
  <c r="GO233" i="1"/>
  <c r="GV233" i="1"/>
  <c r="HC233" i="1" s="1"/>
  <c r="GX233" i="1" s="1"/>
  <c r="D234" i="1"/>
  <c r="AC234" i="1"/>
  <c r="CQ234" i="1" s="1"/>
  <c r="P234" i="1" s="1"/>
  <c r="AE234" i="1"/>
  <c r="AF234" i="1"/>
  <c r="AG234" i="1"/>
  <c r="AH234" i="1"/>
  <c r="AI234" i="1"/>
  <c r="CW234" i="1" s="1"/>
  <c r="V234" i="1" s="1"/>
  <c r="AJ234" i="1"/>
  <c r="CX234" i="1" s="1"/>
  <c r="W234" i="1" s="1"/>
  <c r="CT234" i="1"/>
  <c r="S234" i="1" s="1"/>
  <c r="CZ234" i="1" s="1"/>
  <c r="Y234" i="1" s="1"/>
  <c r="CU234" i="1"/>
  <c r="T234" i="1" s="1"/>
  <c r="CV234" i="1"/>
  <c r="U234" i="1" s="1"/>
  <c r="FR234" i="1"/>
  <c r="GL234" i="1"/>
  <c r="GN234" i="1"/>
  <c r="GO234" i="1"/>
  <c r="GV234" i="1"/>
  <c r="HC234" i="1" s="1"/>
  <c r="GX234" i="1" s="1"/>
  <c r="D235" i="1"/>
  <c r="AC235" i="1"/>
  <c r="CQ235" i="1" s="1"/>
  <c r="P235" i="1" s="1"/>
  <c r="AE235" i="1"/>
  <c r="AF235" i="1"/>
  <c r="AG235" i="1"/>
  <c r="CU235" i="1" s="1"/>
  <c r="T235" i="1" s="1"/>
  <c r="AH235" i="1"/>
  <c r="CV235" i="1" s="1"/>
  <c r="U235" i="1" s="1"/>
  <c r="AI235" i="1"/>
  <c r="AJ235" i="1"/>
  <c r="CX235" i="1" s="1"/>
  <c r="W235" i="1" s="1"/>
  <c r="CW235" i="1"/>
  <c r="V235" i="1" s="1"/>
  <c r="FR235" i="1"/>
  <c r="GL235" i="1"/>
  <c r="GN235" i="1"/>
  <c r="GO235" i="1"/>
  <c r="GV235" i="1"/>
  <c r="HC235" i="1"/>
  <c r="GX235" i="1" s="1"/>
  <c r="D236" i="1"/>
  <c r="AC236" i="1"/>
  <c r="AE236" i="1"/>
  <c r="AD236" i="1" s="1"/>
  <c r="AF236" i="1"/>
  <c r="CT236" i="1" s="1"/>
  <c r="S236" i="1" s="1"/>
  <c r="AG236" i="1"/>
  <c r="CU236" i="1" s="1"/>
  <c r="T236" i="1" s="1"/>
  <c r="AH236" i="1"/>
  <c r="AI236" i="1"/>
  <c r="CW236" i="1" s="1"/>
  <c r="V236" i="1" s="1"/>
  <c r="AJ236" i="1"/>
  <c r="CX236" i="1" s="1"/>
  <c r="W236" i="1" s="1"/>
  <c r="CQ236" i="1"/>
  <c r="P236" i="1" s="1"/>
  <c r="CR236" i="1"/>
  <c r="Q236" i="1" s="1"/>
  <c r="CS236" i="1"/>
  <c r="R236" i="1" s="1"/>
  <c r="GK236" i="1" s="1"/>
  <c r="CV236" i="1"/>
  <c r="U236" i="1" s="1"/>
  <c r="FR236" i="1"/>
  <c r="GL236" i="1"/>
  <c r="GN236" i="1"/>
  <c r="GO236" i="1"/>
  <c r="GV236" i="1"/>
  <c r="HC236" i="1"/>
  <c r="GX236" i="1" s="1"/>
  <c r="D237" i="1"/>
  <c r="AC237" i="1"/>
  <c r="CQ237" i="1" s="1"/>
  <c r="P237" i="1" s="1"/>
  <c r="AE237" i="1"/>
  <c r="AF237" i="1"/>
  <c r="CT237" i="1" s="1"/>
  <c r="S237" i="1" s="1"/>
  <c r="AG237" i="1"/>
  <c r="CU237" i="1" s="1"/>
  <c r="T237" i="1" s="1"/>
  <c r="AH237" i="1"/>
  <c r="CV237" i="1" s="1"/>
  <c r="U237" i="1" s="1"/>
  <c r="AI237" i="1"/>
  <c r="AJ237" i="1"/>
  <c r="CX237" i="1" s="1"/>
  <c r="W237" i="1" s="1"/>
  <c r="CW237" i="1"/>
  <c r="V237" i="1" s="1"/>
  <c r="FR237" i="1"/>
  <c r="GL237" i="1"/>
  <c r="GN237" i="1"/>
  <c r="GO237" i="1"/>
  <c r="GV237" i="1"/>
  <c r="HC237" i="1" s="1"/>
  <c r="GX237" i="1" s="1"/>
  <c r="D238" i="1"/>
  <c r="AC238" i="1"/>
  <c r="CQ238" i="1" s="1"/>
  <c r="P238" i="1" s="1"/>
  <c r="AE238" i="1"/>
  <c r="AD238" i="1" s="1"/>
  <c r="AF238" i="1"/>
  <c r="CT238" i="1" s="1"/>
  <c r="S238" i="1" s="1"/>
  <c r="AG238" i="1"/>
  <c r="CU238" i="1" s="1"/>
  <c r="T238" i="1" s="1"/>
  <c r="AH238" i="1"/>
  <c r="CV238" i="1" s="1"/>
  <c r="U238" i="1" s="1"/>
  <c r="AI238" i="1"/>
  <c r="AJ238" i="1"/>
  <c r="CX238" i="1" s="1"/>
  <c r="W238" i="1" s="1"/>
  <c r="CW238" i="1"/>
  <c r="V238" i="1" s="1"/>
  <c r="FR238" i="1"/>
  <c r="GL238" i="1"/>
  <c r="GN238" i="1"/>
  <c r="GO238" i="1"/>
  <c r="GV238" i="1"/>
  <c r="HC238" i="1" s="1"/>
  <c r="GX238" i="1" s="1"/>
  <c r="D239" i="1"/>
  <c r="AC239" i="1"/>
  <c r="AE239" i="1"/>
  <c r="AF239" i="1"/>
  <c r="AG239" i="1"/>
  <c r="AH239" i="1"/>
  <c r="CV239" i="1" s="1"/>
  <c r="U239" i="1" s="1"/>
  <c r="AI239" i="1"/>
  <c r="CW239" i="1" s="1"/>
  <c r="V239" i="1" s="1"/>
  <c r="AJ239" i="1"/>
  <c r="CX239" i="1" s="1"/>
  <c r="W239" i="1" s="1"/>
  <c r="CQ239" i="1"/>
  <c r="P239" i="1" s="1"/>
  <c r="CR239" i="1"/>
  <c r="Q239" i="1" s="1"/>
  <c r="CS239" i="1"/>
  <c r="CU239" i="1"/>
  <c r="T239" i="1" s="1"/>
  <c r="FR239" i="1"/>
  <c r="GL239" i="1"/>
  <c r="GN239" i="1"/>
  <c r="GO239" i="1"/>
  <c r="GV239" i="1"/>
  <c r="HC239" i="1" s="1"/>
  <c r="GX239" i="1" s="1"/>
  <c r="D240" i="1"/>
  <c r="AC240" i="1"/>
  <c r="AE240" i="1"/>
  <c r="AD240" i="1" s="1"/>
  <c r="AF240" i="1"/>
  <c r="CT240" i="1" s="1"/>
  <c r="S240" i="1" s="1"/>
  <c r="AG240" i="1"/>
  <c r="CU240" i="1" s="1"/>
  <c r="T240" i="1" s="1"/>
  <c r="AH240" i="1"/>
  <c r="CV240" i="1" s="1"/>
  <c r="U240" i="1" s="1"/>
  <c r="AI240" i="1"/>
  <c r="CW240" i="1" s="1"/>
  <c r="V240" i="1" s="1"/>
  <c r="AJ240" i="1"/>
  <c r="CX240" i="1" s="1"/>
  <c r="W240" i="1" s="1"/>
  <c r="FR240" i="1"/>
  <c r="GL240" i="1"/>
  <c r="GN240" i="1"/>
  <c r="GO240" i="1"/>
  <c r="GV240" i="1"/>
  <c r="HC240" i="1"/>
  <c r="GX240" i="1" s="1"/>
  <c r="D241" i="1"/>
  <c r="AC241" i="1"/>
  <c r="AE241" i="1"/>
  <c r="AD241" i="1" s="1"/>
  <c r="AF241" i="1"/>
  <c r="CT241" i="1" s="1"/>
  <c r="S241" i="1" s="1"/>
  <c r="AG241" i="1"/>
  <c r="CU241" i="1" s="1"/>
  <c r="T241" i="1" s="1"/>
  <c r="AH241" i="1"/>
  <c r="CV241" i="1" s="1"/>
  <c r="U241" i="1" s="1"/>
  <c r="AI241" i="1"/>
  <c r="AJ241" i="1"/>
  <c r="CX241" i="1" s="1"/>
  <c r="W241" i="1" s="1"/>
  <c r="CQ241" i="1"/>
  <c r="P241" i="1" s="1"/>
  <c r="CR241" i="1"/>
  <c r="Q241" i="1" s="1"/>
  <c r="CW241" i="1"/>
  <c r="V241" i="1" s="1"/>
  <c r="FR241" i="1"/>
  <c r="GL241" i="1"/>
  <c r="GN241" i="1"/>
  <c r="GO241" i="1"/>
  <c r="GV241" i="1"/>
  <c r="HC241" i="1" s="1"/>
  <c r="GX241" i="1" s="1"/>
  <c r="D242" i="1"/>
  <c r="AC242" i="1"/>
  <c r="AE242" i="1"/>
  <c r="AF242" i="1"/>
  <c r="CT242" i="1" s="1"/>
  <c r="S242" i="1" s="1"/>
  <c r="CZ242" i="1" s="1"/>
  <c r="Y242" i="1" s="1"/>
  <c r="AG242" i="1"/>
  <c r="CU242" i="1" s="1"/>
  <c r="T242" i="1" s="1"/>
  <c r="AH242" i="1"/>
  <c r="CV242" i="1" s="1"/>
  <c r="U242" i="1" s="1"/>
  <c r="AI242" i="1"/>
  <c r="CW242" i="1" s="1"/>
  <c r="V242" i="1" s="1"/>
  <c r="AJ242" i="1"/>
  <c r="CX242" i="1" s="1"/>
  <c r="W242" i="1" s="1"/>
  <c r="CQ242" i="1"/>
  <c r="P242" i="1" s="1"/>
  <c r="FR242" i="1"/>
  <c r="GL242" i="1"/>
  <c r="GN242" i="1"/>
  <c r="GO242" i="1"/>
  <c r="GV242" i="1"/>
  <c r="HC242" i="1" s="1"/>
  <c r="GX242" i="1" s="1"/>
  <c r="D243" i="1"/>
  <c r="P243" i="1"/>
  <c r="AC243" i="1"/>
  <c r="CQ243" i="1" s="1"/>
  <c r="AD243" i="1"/>
  <c r="AB243" i="1" s="1"/>
  <c r="AE243" i="1"/>
  <c r="CR243" i="1" s="1"/>
  <c r="Q243" i="1" s="1"/>
  <c r="AF243" i="1"/>
  <c r="AG243" i="1"/>
  <c r="CU243" i="1" s="1"/>
  <c r="T243" i="1" s="1"/>
  <c r="AH243" i="1"/>
  <c r="AI243" i="1"/>
  <c r="CW243" i="1" s="1"/>
  <c r="V243" i="1" s="1"/>
  <c r="AJ243" i="1"/>
  <c r="CX243" i="1" s="1"/>
  <c r="W243" i="1" s="1"/>
  <c r="CS243" i="1"/>
  <c r="R243" i="1" s="1"/>
  <c r="GK243" i="1" s="1"/>
  <c r="CT243" i="1"/>
  <c r="S243" i="1" s="1"/>
  <c r="CV243" i="1"/>
  <c r="U243" i="1" s="1"/>
  <c r="FR243" i="1"/>
  <c r="GL243" i="1"/>
  <c r="GN243" i="1"/>
  <c r="GO243" i="1"/>
  <c r="GV243" i="1"/>
  <c r="HC243" i="1"/>
  <c r="GX243" i="1" s="1"/>
  <c r="D244" i="1"/>
  <c r="AC244" i="1"/>
  <c r="AD244" i="1"/>
  <c r="AE244" i="1"/>
  <c r="AF244" i="1"/>
  <c r="AG244" i="1"/>
  <c r="CU244" i="1" s="1"/>
  <c r="T244" i="1" s="1"/>
  <c r="AH244" i="1"/>
  <c r="CV244" i="1" s="1"/>
  <c r="U244" i="1" s="1"/>
  <c r="AI244" i="1"/>
  <c r="CW244" i="1" s="1"/>
  <c r="V244" i="1" s="1"/>
  <c r="AJ244" i="1"/>
  <c r="CX244" i="1" s="1"/>
  <c r="W244" i="1" s="1"/>
  <c r="CQ244" i="1"/>
  <c r="P244" i="1" s="1"/>
  <c r="CR244" i="1"/>
  <c r="Q244" i="1" s="1"/>
  <c r="CS244" i="1"/>
  <c r="FR244" i="1"/>
  <c r="GL244" i="1"/>
  <c r="GN244" i="1"/>
  <c r="GO244" i="1"/>
  <c r="GV244" i="1"/>
  <c r="HC244" i="1"/>
  <c r="GX244" i="1" s="1"/>
  <c r="D245" i="1"/>
  <c r="AC245" i="1"/>
  <c r="CQ245" i="1" s="1"/>
  <c r="P245" i="1" s="1"/>
  <c r="AD245" i="1"/>
  <c r="AB245" i="1" s="1"/>
  <c r="AE245" i="1"/>
  <c r="CR245" i="1" s="1"/>
  <c r="Q245" i="1" s="1"/>
  <c r="AF245" i="1"/>
  <c r="CT245" i="1" s="1"/>
  <c r="S245" i="1" s="1"/>
  <c r="CY245" i="1" s="1"/>
  <c r="X245" i="1" s="1"/>
  <c r="AG245" i="1"/>
  <c r="CU245" i="1" s="1"/>
  <c r="T245" i="1" s="1"/>
  <c r="AH245" i="1"/>
  <c r="CV245" i="1" s="1"/>
  <c r="U245" i="1" s="1"/>
  <c r="AI245" i="1"/>
  <c r="AJ245" i="1"/>
  <c r="CS245" i="1"/>
  <c r="R245" i="1" s="1"/>
  <c r="GK245" i="1" s="1"/>
  <c r="CW245" i="1"/>
  <c r="V245" i="1" s="1"/>
  <c r="CX245" i="1"/>
  <c r="W245" i="1" s="1"/>
  <c r="FR245" i="1"/>
  <c r="GL245" i="1"/>
  <c r="GN245" i="1"/>
  <c r="GO245" i="1"/>
  <c r="GV245" i="1"/>
  <c r="HC245" i="1" s="1"/>
  <c r="GX245" i="1" s="1"/>
  <c r="D246" i="1"/>
  <c r="AC246" i="1"/>
  <c r="CQ246" i="1" s="1"/>
  <c r="P246" i="1" s="1"/>
  <c r="AE246" i="1"/>
  <c r="AF246" i="1"/>
  <c r="CT246" i="1" s="1"/>
  <c r="S246" i="1" s="1"/>
  <c r="CZ246" i="1" s="1"/>
  <c r="Y246" i="1" s="1"/>
  <c r="AG246" i="1"/>
  <c r="CU246" i="1" s="1"/>
  <c r="T246" i="1" s="1"/>
  <c r="AH246" i="1"/>
  <c r="AI246" i="1"/>
  <c r="AJ246" i="1"/>
  <c r="CX246" i="1" s="1"/>
  <c r="W246" i="1" s="1"/>
  <c r="CV246" i="1"/>
  <c r="U246" i="1" s="1"/>
  <c r="CW246" i="1"/>
  <c r="V246" i="1" s="1"/>
  <c r="FR246" i="1"/>
  <c r="GL246" i="1"/>
  <c r="GN246" i="1"/>
  <c r="GO246" i="1"/>
  <c r="GV246" i="1"/>
  <c r="HC246" i="1"/>
  <c r="GX246" i="1" s="1"/>
  <c r="D247" i="1"/>
  <c r="AC247" i="1"/>
  <c r="CQ247" i="1" s="1"/>
  <c r="P247" i="1" s="1"/>
  <c r="AE247" i="1"/>
  <c r="AF247" i="1"/>
  <c r="CT247" i="1" s="1"/>
  <c r="S247" i="1" s="1"/>
  <c r="CY247" i="1" s="1"/>
  <c r="X247" i="1" s="1"/>
  <c r="AG247" i="1"/>
  <c r="CU247" i="1" s="1"/>
  <c r="T247" i="1" s="1"/>
  <c r="AH247" i="1"/>
  <c r="CV247" i="1" s="1"/>
  <c r="U247" i="1" s="1"/>
  <c r="AI247" i="1"/>
  <c r="CW247" i="1" s="1"/>
  <c r="V247" i="1" s="1"/>
  <c r="AJ247" i="1"/>
  <c r="CX247" i="1" s="1"/>
  <c r="W247" i="1" s="1"/>
  <c r="CZ247" i="1"/>
  <c r="Y247" i="1" s="1"/>
  <c r="FR247" i="1"/>
  <c r="GL247" i="1"/>
  <c r="GN247" i="1"/>
  <c r="GO247" i="1"/>
  <c r="GV247" i="1"/>
  <c r="HC247" i="1" s="1"/>
  <c r="GX247" i="1" s="1"/>
  <c r="D248" i="1"/>
  <c r="P248" i="1"/>
  <c r="AC248" i="1"/>
  <c r="AD248" i="1"/>
  <c r="AB248" i="1" s="1"/>
  <c r="AE248" i="1"/>
  <c r="AF248" i="1"/>
  <c r="AG248" i="1"/>
  <c r="CU248" i="1" s="1"/>
  <c r="T248" i="1" s="1"/>
  <c r="AH248" i="1"/>
  <c r="AI248" i="1"/>
  <c r="CW248" i="1" s="1"/>
  <c r="V248" i="1" s="1"/>
  <c r="AJ248" i="1"/>
  <c r="CX248" i="1" s="1"/>
  <c r="W248" i="1" s="1"/>
  <c r="CQ248" i="1"/>
  <c r="CR248" i="1"/>
  <c r="Q248" i="1" s="1"/>
  <c r="CS248" i="1"/>
  <c r="CV248" i="1"/>
  <c r="U248" i="1" s="1"/>
  <c r="FR248" i="1"/>
  <c r="GL248" i="1"/>
  <c r="GN248" i="1"/>
  <c r="GO248" i="1"/>
  <c r="GV248" i="1"/>
  <c r="HC248" i="1"/>
  <c r="GX248" i="1" s="1"/>
  <c r="D249" i="1"/>
  <c r="P249" i="1"/>
  <c r="AC249" i="1"/>
  <c r="CQ249" i="1" s="1"/>
  <c r="AE249" i="1"/>
  <c r="AF249" i="1"/>
  <c r="CT249" i="1" s="1"/>
  <c r="S249" i="1" s="1"/>
  <c r="CZ249" i="1" s="1"/>
  <c r="Y249" i="1" s="1"/>
  <c r="AG249" i="1"/>
  <c r="CU249" i="1" s="1"/>
  <c r="T249" i="1" s="1"/>
  <c r="AH249" i="1"/>
  <c r="CV249" i="1" s="1"/>
  <c r="U249" i="1" s="1"/>
  <c r="AI249" i="1"/>
  <c r="CW249" i="1" s="1"/>
  <c r="V249" i="1" s="1"/>
  <c r="AJ249" i="1"/>
  <c r="CX249" i="1"/>
  <c r="W249" i="1" s="1"/>
  <c r="CY249" i="1"/>
  <c r="X249" i="1" s="1"/>
  <c r="FR249" i="1"/>
  <c r="GL249" i="1"/>
  <c r="GN249" i="1"/>
  <c r="GO249" i="1"/>
  <c r="GV249" i="1"/>
  <c r="HC249" i="1" s="1"/>
  <c r="GX249" i="1" s="1"/>
  <c r="D250" i="1"/>
  <c r="I250" i="1"/>
  <c r="K250" i="1"/>
  <c r="U250" i="1"/>
  <c r="W250" i="1"/>
  <c r="AC250" i="1"/>
  <c r="AE250" i="1"/>
  <c r="AD250" i="1" s="1"/>
  <c r="AF250" i="1"/>
  <c r="CT250" i="1" s="1"/>
  <c r="AG250" i="1"/>
  <c r="AH250" i="1"/>
  <c r="CV250" i="1" s="1"/>
  <c r="AI250" i="1"/>
  <c r="CW250" i="1" s="1"/>
  <c r="V250" i="1" s="1"/>
  <c r="AJ250" i="1"/>
  <c r="CX250" i="1" s="1"/>
  <c r="CQ250" i="1"/>
  <c r="P250" i="1" s="1"/>
  <c r="CS250" i="1"/>
  <c r="R250" i="1" s="1"/>
  <c r="GK250" i="1" s="1"/>
  <c r="CU250" i="1"/>
  <c r="T250" i="1" s="1"/>
  <c r="FR250" i="1"/>
  <c r="GL250" i="1"/>
  <c r="GN250" i="1"/>
  <c r="GO250" i="1"/>
  <c r="GV250" i="1"/>
  <c r="HC250" i="1" s="1"/>
  <c r="GX250" i="1" s="1"/>
  <c r="D251" i="1"/>
  <c r="I251" i="1"/>
  <c r="K251" i="1"/>
  <c r="AC251" i="1"/>
  <c r="AE251" i="1"/>
  <c r="AF251" i="1"/>
  <c r="CT251" i="1" s="1"/>
  <c r="S251" i="1" s="1"/>
  <c r="AG251" i="1"/>
  <c r="AH251" i="1"/>
  <c r="AI251" i="1"/>
  <c r="AJ251" i="1"/>
  <c r="CX251" i="1" s="1"/>
  <c r="W251" i="1" s="1"/>
  <c r="CQ251" i="1"/>
  <c r="P251" i="1" s="1"/>
  <c r="CU251" i="1"/>
  <c r="T251" i="1" s="1"/>
  <c r="CV251" i="1"/>
  <c r="CW251" i="1"/>
  <c r="V251" i="1" s="1"/>
  <c r="FR251" i="1"/>
  <c r="GL251" i="1"/>
  <c r="GN251" i="1"/>
  <c r="GO251" i="1"/>
  <c r="GV251" i="1"/>
  <c r="HC251" i="1"/>
  <c r="GX251" i="1" s="1"/>
  <c r="D252" i="1"/>
  <c r="I252" i="1"/>
  <c r="K252" i="1"/>
  <c r="AC252" i="1"/>
  <c r="AD252" i="1"/>
  <c r="AE252" i="1"/>
  <c r="CS252" i="1" s="1"/>
  <c r="AF252" i="1"/>
  <c r="CT252" i="1" s="1"/>
  <c r="S252" i="1" s="1"/>
  <c r="AG252" i="1"/>
  <c r="CU252" i="1" s="1"/>
  <c r="AH252" i="1"/>
  <c r="CV252" i="1" s="1"/>
  <c r="AI252" i="1"/>
  <c r="CW252" i="1" s="1"/>
  <c r="AJ252" i="1"/>
  <c r="CX252" i="1" s="1"/>
  <c r="FR252" i="1"/>
  <c r="GL252" i="1"/>
  <c r="GN252" i="1"/>
  <c r="GO252" i="1"/>
  <c r="GV252" i="1"/>
  <c r="HC252" i="1" s="1"/>
  <c r="GX252" i="1"/>
  <c r="D253" i="1"/>
  <c r="AC253" i="1"/>
  <c r="AE253" i="1"/>
  <c r="AF253" i="1"/>
  <c r="AG253" i="1"/>
  <c r="AH253" i="1"/>
  <c r="CV253" i="1" s="1"/>
  <c r="U253" i="1" s="1"/>
  <c r="AI253" i="1"/>
  <c r="AJ253" i="1"/>
  <c r="CX253" i="1" s="1"/>
  <c r="W253" i="1" s="1"/>
  <c r="CU253" i="1"/>
  <c r="T253" i="1" s="1"/>
  <c r="CW253" i="1"/>
  <c r="V253" i="1" s="1"/>
  <c r="AI262" i="1" s="1"/>
  <c r="FR253" i="1"/>
  <c r="GL253" i="1"/>
  <c r="GN253" i="1"/>
  <c r="GO253" i="1"/>
  <c r="GV253" i="1"/>
  <c r="HC253" i="1" s="1"/>
  <c r="GX253" i="1" s="1"/>
  <c r="D254" i="1"/>
  <c r="AC254" i="1"/>
  <c r="CQ254" i="1" s="1"/>
  <c r="P254" i="1" s="1"/>
  <c r="AE254" i="1"/>
  <c r="AD254" i="1" s="1"/>
  <c r="AF254" i="1"/>
  <c r="CT254" i="1" s="1"/>
  <c r="S254" i="1" s="1"/>
  <c r="AG254" i="1"/>
  <c r="CU254" i="1" s="1"/>
  <c r="T254" i="1" s="1"/>
  <c r="AH254" i="1"/>
  <c r="CV254" i="1" s="1"/>
  <c r="U254" i="1" s="1"/>
  <c r="AI254" i="1"/>
  <c r="AJ254" i="1"/>
  <c r="CW254" i="1"/>
  <c r="V254" i="1" s="1"/>
  <c r="CX254" i="1"/>
  <c r="W254" i="1" s="1"/>
  <c r="FR254" i="1"/>
  <c r="GL254" i="1"/>
  <c r="GN254" i="1"/>
  <c r="GO254" i="1"/>
  <c r="GV254" i="1"/>
  <c r="HC254" i="1" s="1"/>
  <c r="GX254" i="1" s="1"/>
  <c r="D255" i="1"/>
  <c r="I255" i="1"/>
  <c r="K255" i="1"/>
  <c r="T255" i="1"/>
  <c r="W255" i="1"/>
  <c r="AC255" i="1"/>
  <c r="CQ255" i="1" s="1"/>
  <c r="P255" i="1" s="1"/>
  <c r="AE255" i="1"/>
  <c r="AF255" i="1"/>
  <c r="AG255" i="1"/>
  <c r="CU255" i="1" s="1"/>
  <c r="AH255" i="1"/>
  <c r="CV255" i="1" s="1"/>
  <c r="AI255" i="1"/>
  <c r="CW255" i="1" s="1"/>
  <c r="V255" i="1" s="1"/>
  <c r="AJ255" i="1"/>
  <c r="CX255" i="1" s="1"/>
  <c r="CT255" i="1"/>
  <c r="S255" i="1" s="1"/>
  <c r="FR255" i="1"/>
  <c r="GL255" i="1"/>
  <c r="GN255" i="1"/>
  <c r="GO255" i="1"/>
  <c r="GV255" i="1"/>
  <c r="HC255" i="1" s="1"/>
  <c r="GX255" i="1" s="1"/>
  <c r="D256" i="1"/>
  <c r="I256" i="1"/>
  <c r="K256" i="1"/>
  <c r="V256" i="1"/>
  <c r="AC256" i="1"/>
  <c r="AE256" i="1"/>
  <c r="AD256" i="1" s="1"/>
  <c r="AF256" i="1"/>
  <c r="CT256" i="1" s="1"/>
  <c r="S256" i="1" s="1"/>
  <c r="AG256" i="1"/>
  <c r="AH256" i="1"/>
  <c r="AI256" i="1"/>
  <c r="CW256" i="1" s="1"/>
  <c r="AJ256" i="1"/>
  <c r="CQ256" i="1"/>
  <c r="P256" i="1" s="1"/>
  <c r="CU256" i="1"/>
  <c r="T256" i="1" s="1"/>
  <c r="CV256" i="1"/>
  <c r="U256" i="1" s="1"/>
  <c r="CX256" i="1"/>
  <c r="W256" i="1" s="1"/>
  <c r="FR256" i="1"/>
  <c r="GL256" i="1"/>
  <c r="GN256" i="1"/>
  <c r="GO256" i="1"/>
  <c r="GV256" i="1"/>
  <c r="HC256" i="1"/>
  <c r="GX256" i="1" s="1"/>
  <c r="D257" i="1"/>
  <c r="I257" i="1"/>
  <c r="K257" i="1"/>
  <c r="AC257" i="1"/>
  <c r="CQ257" i="1" s="1"/>
  <c r="P257" i="1" s="1"/>
  <c r="AE257" i="1"/>
  <c r="AF257" i="1"/>
  <c r="AG257" i="1"/>
  <c r="CU257" i="1" s="1"/>
  <c r="AH257" i="1"/>
  <c r="AI257" i="1"/>
  <c r="AJ257" i="1"/>
  <c r="CT257" i="1"/>
  <c r="CV257" i="1"/>
  <c r="CW257" i="1"/>
  <c r="V257" i="1" s="1"/>
  <c r="CX257" i="1"/>
  <c r="W257" i="1" s="1"/>
  <c r="FR257" i="1"/>
  <c r="GL257" i="1"/>
  <c r="GN257" i="1"/>
  <c r="GO257" i="1"/>
  <c r="GV257" i="1"/>
  <c r="HC257" i="1" s="1"/>
  <c r="D258" i="1"/>
  <c r="I258" i="1"/>
  <c r="K258" i="1"/>
  <c r="AC258" i="1"/>
  <c r="CQ258" i="1" s="1"/>
  <c r="P258" i="1" s="1"/>
  <c r="AD258" i="1"/>
  <c r="AE258" i="1"/>
  <c r="AF258" i="1"/>
  <c r="CT258" i="1" s="1"/>
  <c r="S258" i="1" s="1"/>
  <c r="CY258" i="1" s="1"/>
  <c r="X258" i="1" s="1"/>
  <c r="AG258" i="1"/>
  <c r="AH258" i="1"/>
  <c r="CV258" i="1" s="1"/>
  <c r="U258" i="1" s="1"/>
  <c r="AI258" i="1"/>
  <c r="CW258" i="1" s="1"/>
  <c r="V258" i="1" s="1"/>
  <c r="AJ258" i="1"/>
  <c r="CX258" i="1" s="1"/>
  <c r="CU258" i="1"/>
  <c r="T258" i="1" s="1"/>
  <c r="FR258" i="1"/>
  <c r="GL258" i="1"/>
  <c r="GN258" i="1"/>
  <c r="GO258" i="1"/>
  <c r="GV258" i="1"/>
  <c r="HC258" i="1" s="1"/>
  <c r="GX258" i="1" s="1"/>
  <c r="D259" i="1"/>
  <c r="I259" i="1"/>
  <c r="K259" i="1"/>
  <c r="V259" i="1"/>
  <c r="AC259" i="1"/>
  <c r="AE259" i="1"/>
  <c r="AF259" i="1"/>
  <c r="CT259" i="1" s="1"/>
  <c r="S259" i="1" s="1"/>
  <c r="CZ259" i="1" s="1"/>
  <c r="Y259" i="1" s="1"/>
  <c r="AG259" i="1"/>
  <c r="CU259" i="1" s="1"/>
  <c r="AH259" i="1"/>
  <c r="CV259" i="1" s="1"/>
  <c r="AI259" i="1"/>
  <c r="CW259" i="1" s="1"/>
  <c r="AJ259" i="1"/>
  <c r="CX259" i="1"/>
  <c r="FR259" i="1"/>
  <c r="GL259" i="1"/>
  <c r="GN259" i="1"/>
  <c r="GO259" i="1"/>
  <c r="GV259" i="1"/>
  <c r="HC259" i="1"/>
  <c r="GX259" i="1" s="1"/>
  <c r="D260" i="1"/>
  <c r="I260" i="1"/>
  <c r="K260" i="1"/>
  <c r="AC260" i="1"/>
  <c r="CQ260" i="1" s="1"/>
  <c r="P260" i="1" s="1"/>
  <c r="AE260" i="1"/>
  <c r="AD260" i="1" s="1"/>
  <c r="AF260" i="1"/>
  <c r="AG260" i="1"/>
  <c r="CU260" i="1" s="1"/>
  <c r="T260" i="1" s="1"/>
  <c r="AH260" i="1"/>
  <c r="CV260" i="1" s="1"/>
  <c r="U260" i="1" s="1"/>
  <c r="AI260" i="1"/>
  <c r="CW260" i="1" s="1"/>
  <c r="V260" i="1" s="1"/>
  <c r="AJ260" i="1"/>
  <c r="CX260" i="1" s="1"/>
  <c r="W260" i="1" s="1"/>
  <c r="CS260" i="1"/>
  <c r="R260" i="1" s="1"/>
  <c r="GK260" i="1" s="1"/>
  <c r="CT260" i="1"/>
  <c r="S260" i="1" s="1"/>
  <c r="FR260" i="1"/>
  <c r="GL260" i="1"/>
  <c r="GN260" i="1"/>
  <c r="GO260" i="1"/>
  <c r="GV260" i="1"/>
  <c r="HC260" i="1" s="1"/>
  <c r="GX260" i="1" s="1"/>
  <c r="B262" i="1"/>
  <c r="B231" i="1" s="1"/>
  <c r="C262" i="1"/>
  <c r="C231" i="1" s="1"/>
  <c r="D262" i="1"/>
  <c r="D231" i="1" s="1"/>
  <c r="F262" i="1"/>
  <c r="F231" i="1" s="1"/>
  <c r="G262" i="1"/>
  <c r="BC262" i="1"/>
  <c r="BX262" i="1"/>
  <c r="CK262" i="1"/>
  <c r="CK231" i="1" s="1"/>
  <c r="CL262" i="1"/>
  <c r="CL231" i="1" s="1"/>
  <c r="CM262" i="1"/>
  <c r="CM231" i="1" s="1"/>
  <c r="D292" i="1"/>
  <c r="E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BE294" i="1"/>
  <c r="BF294" i="1"/>
  <c r="BG294" i="1"/>
  <c r="BH294" i="1"/>
  <c r="BI294" i="1"/>
  <c r="BJ294" i="1"/>
  <c r="BK294" i="1"/>
  <c r="BL294" i="1"/>
  <c r="BM294" i="1"/>
  <c r="BN294" i="1"/>
  <c r="BO294" i="1"/>
  <c r="BP294" i="1"/>
  <c r="BQ294" i="1"/>
  <c r="BR294" i="1"/>
  <c r="BS294" i="1"/>
  <c r="BT294" i="1"/>
  <c r="BU294" i="1"/>
  <c r="BV294" i="1"/>
  <c r="BW294" i="1"/>
  <c r="BX294" i="1"/>
  <c r="BY294" i="1"/>
  <c r="BZ294" i="1"/>
  <c r="CA294" i="1"/>
  <c r="CB294" i="1"/>
  <c r="CC294" i="1"/>
  <c r="CD294" i="1"/>
  <c r="CE294" i="1"/>
  <c r="CF294" i="1"/>
  <c r="CG294" i="1"/>
  <c r="CH294" i="1"/>
  <c r="CI294" i="1"/>
  <c r="CJ294" i="1"/>
  <c r="CK294" i="1"/>
  <c r="CL294" i="1"/>
  <c r="CM294" i="1"/>
  <c r="CN294" i="1"/>
  <c r="CO294" i="1"/>
  <c r="CP294" i="1"/>
  <c r="CQ294" i="1"/>
  <c r="CR294" i="1"/>
  <c r="CS294" i="1"/>
  <c r="CT294" i="1"/>
  <c r="CU294" i="1"/>
  <c r="CV294" i="1"/>
  <c r="CW294" i="1"/>
  <c r="CX294" i="1"/>
  <c r="CY294" i="1"/>
  <c r="CZ294" i="1"/>
  <c r="DA294" i="1"/>
  <c r="DB294" i="1"/>
  <c r="DC294" i="1"/>
  <c r="DD294" i="1"/>
  <c r="DE294" i="1"/>
  <c r="DF294" i="1"/>
  <c r="DG294" i="1"/>
  <c r="DH294" i="1"/>
  <c r="DI294" i="1"/>
  <c r="DJ294" i="1"/>
  <c r="DK294" i="1"/>
  <c r="DL294" i="1"/>
  <c r="DM294" i="1"/>
  <c r="DN294" i="1"/>
  <c r="DO294" i="1"/>
  <c r="DP294" i="1"/>
  <c r="DQ294" i="1"/>
  <c r="DR294" i="1"/>
  <c r="DS294" i="1"/>
  <c r="DT294" i="1"/>
  <c r="DU294" i="1"/>
  <c r="DV294" i="1"/>
  <c r="DW294" i="1"/>
  <c r="DX294" i="1"/>
  <c r="DY294" i="1"/>
  <c r="DZ294" i="1"/>
  <c r="EA294" i="1"/>
  <c r="EB294" i="1"/>
  <c r="EC294" i="1"/>
  <c r="ED294" i="1"/>
  <c r="EE294" i="1"/>
  <c r="EF294" i="1"/>
  <c r="EG294" i="1"/>
  <c r="EH294" i="1"/>
  <c r="EI294" i="1"/>
  <c r="EJ294" i="1"/>
  <c r="EK294" i="1"/>
  <c r="EL294" i="1"/>
  <c r="EM294" i="1"/>
  <c r="EN294" i="1"/>
  <c r="EO294" i="1"/>
  <c r="EP294" i="1"/>
  <c r="EQ294" i="1"/>
  <c r="ER294" i="1"/>
  <c r="ES294" i="1"/>
  <c r="ET294" i="1"/>
  <c r="EU294" i="1"/>
  <c r="EV294" i="1"/>
  <c r="EW294" i="1"/>
  <c r="EX294" i="1"/>
  <c r="EY294" i="1"/>
  <c r="EZ294" i="1"/>
  <c r="FA294" i="1"/>
  <c r="FB294" i="1"/>
  <c r="FC294" i="1"/>
  <c r="FD294" i="1"/>
  <c r="FE294" i="1"/>
  <c r="FF294" i="1"/>
  <c r="FG294" i="1"/>
  <c r="FH294" i="1"/>
  <c r="FI294" i="1"/>
  <c r="FJ294" i="1"/>
  <c r="FK294" i="1"/>
  <c r="FL294" i="1"/>
  <c r="FM294" i="1"/>
  <c r="FN294" i="1"/>
  <c r="FO294" i="1"/>
  <c r="FP294" i="1"/>
  <c r="FQ294" i="1"/>
  <c r="FR294" i="1"/>
  <c r="FS294" i="1"/>
  <c r="FT294" i="1"/>
  <c r="FU294" i="1"/>
  <c r="FV294" i="1"/>
  <c r="FW294" i="1"/>
  <c r="FX294" i="1"/>
  <c r="FY294" i="1"/>
  <c r="FZ294" i="1"/>
  <c r="GA294" i="1"/>
  <c r="GB294" i="1"/>
  <c r="GC294" i="1"/>
  <c r="GD294" i="1"/>
  <c r="GE294" i="1"/>
  <c r="GF294" i="1"/>
  <c r="GG294" i="1"/>
  <c r="GH294" i="1"/>
  <c r="GI294" i="1"/>
  <c r="GJ294" i="1"/>
  <c r="GK294" i="1"/>
  <c r="GL294" i="1"/>
  <c r="GM294" i="1"/>
  <c r="GN294" i="1"/>
  <c r="GO294" i="1"/>
  <c r="GP294" i="1"/>
  <c r="GQ294" i="1"/>
  <c r="GR294" i="1"/>
  <c r="GS294" i="1"/>
  <c r="GT294" i="1"/>
  <c r="GU294" i="1"/>
  <c r="GV294" i="1"/>
  <c r="GW294" i="1"/>
  <c r="GX294" i="1"/>
  <c r="D296" i="1"/>
  <c r="E298" i="1"/>
  <c r="Z298" i="1"/>
  <c r="AA298" i="1"/>
  <c r="AM298" i="1"/>
  <c r="AN298" i="1"/>
  <c r="BE298" i="1"/>
  <c r="BF298" i="1"/>
  <c r="BG298" i="1"/>
  <c r="BH298" i="1"/>
  <c r="BI298" i="1"/>
  <c r="BJ298" i="1"/>
  <c r="BK298" i="1"/>
  <c r="BL298" i="1"/>
  <c r="BM298" i="1"/>
  <c r="BN298" i="1"/>
  <c r="BO298" i="1"/>
  <c r="BP298" i="1"/>
  <c r="BQ298" i="1"/>
  <c r="BR298" i="1"/>
  <c r="BS298" i="1"/>
  <c r="BT298" i="1"/>
  <c r="BU298" i="1"/>
  <c r="BV298" i="1"/>
  <c r="BW298" i="1"/>
  <c r="CN298" i="1"/>
  <c r="CO298" i="1"/>
  <c r="CP298" i="1"/>
  <c r="CQ298" i="1"/>
  <c r="CR298" i="1"/>
  <c r="CS298" i="1"/>
  <c r="CT298" i="1"/>
  <c r="CU298" i="1"/>
  <c r="CV298" i="1"/>
  <c r="CW298" i="1"/>
  <c r="CX298" i="1"/>
  <c r="CY298" i="1"/>
  <c r="CZ298" i="1"/>
  <c r="DA298" i="1"/>
  <c r="DB298" i="1"/>
  <c r="DC298" i="1"/>
  <c r="DD298" i="1"/>
  <c r="DE298" i="1"/>
  <c r="DF298" i="1"/>
  <c r="DG298" i="1"/>
  <c r="DH298" i="1"/>
  <c r="DI298" i="1"/>
  <c r="DJ298" i="1"/>
  <c r="DK298" i="1"/>
  <c r="DL298" i="1"/>
  <c r="DM298" i="1"/>
  <c r="DN298" i="1"/>
  <c r="DO298" i="1"/>
  <c r="DP298" i="1"/>
  <c r="DQ298" i="1"/>
  <c r="DR298" i="1"/>
  <c r="DS298" i="1"/>
  <c r="DT298" i="1"/>
  <c r="DU298" i="1"/>
  <c r="DV298" i="1"/>
  <c r="DW298" i="1"/>
  <c r="DX298" i="1"/>
  <c r="DY298" i="1"/>
  <c r="DZ298" i="1"/>
  <c r="EA298" i="1"/>
  <c r="EB298" i="1"/>
  <c r="EC298" i="1"/>
  <c r="ED298" i="1"/>
  <c r="EE298" i="1"/>
  <c r="EF298" i="1"/>
  <c r="EG298" i="1"/>
  <c r="EH298" i="1"/>
  <c r="EI298" i="1"/>
  <c r="EJ298" i="1"/>
  <c r="EK298" i="1"/>
  <c r="EL298" i="1"/>
  <c r="EM298" i="1"/>
  <c r="EN298" i="1"/>
  <c r="EO298" i="1"/>
  <c r="EP298" i="1"/>
  <c r="EQ298" i="1"/>
  <c r="ER298" i="1"/>
  <c r="ES298" i="1"/>
  <c r="ET298" i="1"/>
  <c r="EU298" i="1"/>
  <c r="EV298" i="1"/>
  <c r="EW298" i="1"/>
  <c r="EX298" i="1"/>
  <c r="EY298" i="1"/>
  <c r="EZ298" i="1"/>
  <c r="FA298" i="1"/>
  <c r="FB298" i="1"/>
  <c r="FC298" i="1"/>
  <c r="FD298" i="1"/>
  <c r="FE298" i="1"/>
  <c r="FF298" i="1"/>
  <c r="FG298" i="1"/>
  <c r="FH298" i="1"/>
  <c r="FI298" i="1"/>
  <c r="FJ298" i="1"/>
  <c r="FK298" i="1"/>
  <c r="FL298" i="1"/>
  <c r="FM298" i="1"/>
  <c r="FN298" i="1"/>
  <c r="FO298" i="1"/>
  <c r="FP298" i="1"/>
  <c r="FQ298" i="1"/>
  <c r="FR298" i="1"/>
  <c r="FS298" i="1"/>
  <c r="FT298" i="1"/>
  <c r="FU298" i="1"/>
  <c r="FV298" i="1"/>
  <c r="FW298" i="1"/>
  <c r="FX298" i="1"/>
  <c r="FY298" i="1"/>
  <c r="FZ298" i="1"/>
  <c r="GA298" i="1"/>
  <c r="GB298" i="1"/>
  <c r="GC298" i="1"/>
  <c r="GD298" i="1"/>
  <c r="GE298" i="1"/>
  <c r="GF298" i="1"/>
  <c r="GG298" i="1"/>
  <c r="GH298" i="1"/>
  <c r="GI298" i="1"/>
  <c r="GJ298" i="1"/>
  <c r="GK298" i="1"/>
  <c r="GL298" i="1"/>
  <c r="GM298" i="1"/>
  <c r="GN298" i="1"/>
  <c r="GO298" i="1"/>
  <c r="GP298" i="1"/>
  <c r="GQ298" i="1"/>
  <c r="GR298" i="1"/>
  <c r="GS298" i="1"/>
  <c r="GT298" i="1"/>
  <c r="GU298" i="1"/>
  <c r="GV298" i="1"/>
  <c r="GW298" i="1"/>
  <c r="GX298" i="1"/>
  <c r="D300" i="1"/>
  <c r="AC300" i="1"/>
  <c r="AE300" i="1"/>
  <c r="AF300" i="1"/>
  <c r="CT300" i="1" s="1"/>
  <c r="S300" i="1" s="1"/>
  <c r="AG300" i="1"/>
  <c r="AH300" i="1"/>
  <c r="AI300" i="1"/>
  <c r="CW300" i="1" s="1"/>
  <c r="V300" i="1" s="1"/>
  <c r="AJ300" i="1"/>
  <c r="CX300" i="1" s="1"/>
  <c r="W300" i="1" s="1"/>
  <c r="CU300" i="1"/>
  <c r="T300" i="1" s="1"/>
  <c r="CV300" i="1"/>
  <c r="U300" i="1" s="1"/>
  <c r="FR300" i="1"/>
  <c r="GL300" i="1"/>
  <c r="GN300" i="1"/>
  <c r="GO300" i="1"/>
  <c r="GV300" i="1"/>
  <c r="HC300" i="1" s="1"/>
  <c r="GX300" i="1" s="1"/>
  <c r="D301" i="1"/>
  <c r="AC301" i="1"/>
  <c r="CQ301" i="1" s="1"/>
  <c r="P301" i="1" s="1"/>
  <c r="CP301" i="1" s="1"/>
  <c r="O301" i="1" s="1"/>
  <c r="AE301" i="1"/>
  <c r="AF301" i="1"/>
  <c r="AG301" i="1"/>
  <c r="CU301" i="1" s="1"/>
  <c r="T301" i="1" s="1"/>
  <c r="AH301" i="1"/>
  <c r="AI301" i="1"/>
  <c r="CW301" i="1" s="1"/>
  <c r="V301" i="1" s="1"/>
  <c r="AJ301" i="1"/>
  <c r="CX301" i="1" s="1"/>
  <c r="W301" i="1" s="1"/>
  <c r="CR301" i="1"/>
  <c r="Q301" i="1" s="1"/>
  <c r="CT301" i="1"/>
  <c r="S301" i="1" s="1"/>
  <c r="CV301" i="1"/>
  <c r="U301" i="1" s="1"/>
  <c r="FR301" i="1"/>
  <c r="GL301" i="1"/>
  <c r="GN301" i="1"/>
  <c r="GO301" i="1"/>
  <c r="GV301" i="1"/>
  <c r="HC301" i="1"/>
  <c r="GX301" i="1" s="1"/>
  <c r="D302" i="1"/>
  <c r="AC302" i="1"/>
  <c r="AE302" i="1"/>
  <c r="AF302" i="1"/>
  <c r="AG302" i="1"/>
  <c r="CU302" i="1" s="1"/>
  <c r="T302" i="1" s="1"/>
  <c r="AH302" i="1"/>
  <c r="CV302" i="1" s="1"/>
  <c r="U302" i="1" s="1"/>
  <c r="AI302" i="1"/>
  <c r="CW302" i="1" s="1"/>
  <c r="V302" i="1" s="1"/>
  <c r="AJ302" i="1"/>
  <c r="CX302" i="1" s="1"/>
  <c r="W302" i="1" s="1"/>
  <c r="CT302" i="1"/>
  <c r="S302" i="1" s="1"/>
  <c r="FR302" i="1"/>
  <c r="GL302" i="1"/>
  <c r="GN302" i="1"/>
  <c r="GO302" i="1"/>
  <c r="GV302" i="1"/>
  <c r="HC302" i="1" s="1"/>
  <c r="GX302" i="1" s="1"/>
  <c r="D303" i="1"/>
  <c r="AC303" i="1"/>
  <c r="AE303" i="1"/>
  <c r="AD303" i="1" s="1"/>
  <c r="AF303" i="1"/>
  <c r="CT303" i="1" s="1"/>
  <c r="S303" i="1" s="1"/>
  <c r="AG303" i="1"/>
  <c r="CU303" i="1" s="1"/>
  <c r="T303" i="1" s="1"/>
  <c r="AH303" i="1"/>
  <c r="CV303" i="1" s="1"/>
  <c r="U303" i="1" s="1"/>
  <c r="AI303" i="1"/>
  <c r="CW303" i="1" s="1"/>
  <c r="V303" i="1" s="1"/>
  <c r="AJ303" i="1"/>
  <c r="CR303" i="1"/>
  <c r="Q303" i="1" s="1"/>
  <c r="CS303" i="1"/>
  <c r="R303" i="1" s="1"/>
  <c r="GK303" i="1" s="1"/>
  <c r="CX303" i="1"/>
  <c r="W303" i="1" s="1"/>
  <c r="FR303" i="1"/>
  <c r="GL303" i="1"/>
  <c r="GN303" i="1"/>
  <c r="GO303" i="1"/>
  <c r="GV303" i="1"/>
  <c r="HC303" i="1" s="1"/>
  <c r="GX303" i="1" s="1"/>
  <c r="D304" i="1"/>
  <c r="AC304" i="1"/>
  <c r="CQ304" i="1" s="1"/>
  <c r="P304" i="1" s="1"/>
  <c r="AE304" i="1"/>
  <c r="AF304" i="1"/>
  <c r="AG304" i="1"/>
  <c r="CU304" i="1" s="1"/>
  <c r="T304" i="1" s="1"/>
  <c r="AH304" i="1"/>
  <c r="CV304" i="1" s="1"/>
  <c r="U304" i="1" s="1"/>
  <c r="AI304" i="1"/>
  <c r="AJ304" i="1"/>
  <c r="CX304" i="1" s="1"/>
  <c r="W304" i="1" s="1"/>
  <c r="CR304" i="1"/>
  <c r="Q304" i="1" s="1"/>
  <c r="CW304" i="1"/>
  <c r="V304" i="1" s="1"/>
  <c r="FR304" i="1"/>
  <c r="GL304" i="1"/>
  <c r="GN304" i="1"/>
  <c r="CB319" i="1" s="1"/>
  <c r="GO304" i="1"/>
  <c r="GV304" i="1"/>
  <c r="HC304" i="1" s="1"/>
  <c r="GX304" i="1" s="1"/>
  <c r="D305" i="1"/>
  <c r="P305" i="1"/>
  <c r="V305" i="1"/>
  <c r="AC305" i="1"/>
  <c r="AE305" i="1"/>
  <c r="AD305" i="1" s="1"/>
  <c r="AF305" i="1"/>
  <c r="AG305" i="1"/>
  <c r="CU305" i="1" s="1"/>
  <c r="T305" i="1" s="1"/>
  <c r="AH305" i="1"/>
  <c r="CV305" i="1" s="1"/>
  <c r="U305" i="1" s="1"/>
  <c r="AI305" i="1"/>
  <c r="CW305" i="1" s="1"/>
  <c r="AJ305" i="1"/>
  <c r="CX305" i="1" s="1"/>
  <c r="W305" i="1" s="1"/>
  <c r="CQ305" i="1"/>
  <c r="CS305" i="1"/>
  <c r="R305" i="1" s="1"/>
  <c r="GK305" i="1" s="1"/>
  <c r="FR305" i="1"/>
  <c r="GL305" i="1"/>
  <c r="GN305" i="1"/>
  <c r="GO305" i="1"/>
  <c r="GV305" i="1"/>
  <c r="HC305" i="1"/>
  <c r="GX305" i="1" s="1"/>
  <c r="D306" i="1"/>
  <c r="AC306" i="1"/>
  <c r="CQ306" i="1" s="1"/>
  <c r="P306" i="1" s="1"/>
  <c r="AE306" i="1"/>
  <c r="AF306" i="1"/>
  <c r="AG306" i="1"/>
  <c r="CU306" i="1" s="1"/>
  <c r="T306" i="1" s="1"/>
  <c r="AH306" i="1"/>
  <c r="CV306" i="1" s="1"/>
  <c r="U306" i="1" s="1"/>
  <c r="AI306" i="1"/>
  <c r="AJ306" i="1"/>
  <c r="CX306" i="1" s="1"/>
  <c r="W306" i="1" s="1"/>
  <c r="CW306" i="1"/>
  <c r="V306" i="1" s="1"/>
  <c r="FR306" i="1"/>
  <c r="GL306" i="1"/>
  <c r="GN306" i="1"/>
  <c r="GO306" i="1"/>
  <c r="GV306" i="1"/>
  <c r="HC306" i="1" s="1"/>
  <c r="GX306" i="1" s="1"/>
  <c r="D307" i="1"/>
  <c r="U307" i="1"/>
  <c r="AC307" i="1"/>
  <c r="AD307" i="1"/>
  <c r="AE307" i="1"/>
  <c r="AF307" i="1"/>
  <c r="CT307" i="1" s="1"/>
  <c r="S307" i="1" s="1"/>
  <c r="AG307" i="1"/>
  <c r="CU307" i="1" s="1"/>
  <c r="T307" i="1" s="1"/>
  <c r="AH307" i="1"/>
  <c r="CV307" i="1" s="1"/>
  <c r="AI307" i="1"/>
  <c r="CW307" i="1" s="1"/>
  <c r="V307" i="1" s="1"/>
  <c r="AJ307" i="1"/>
  <c r="CX307" i="1" s="1"/>
  <c r="W307" i="1" s="1"/>
  <c r="CR307" i="1"/>
  <c r="Q307" i="1" s="1"/>
  <c r="CS307" i="1"/>
  <c r="R307" i="1" s="1"/>
  <c r="GK307" i="1" s="1"/>
  <c r="FR307" i="1"/>
  <c r="GL307" i="1"/>
  <c r="GN307" i="1"/>
  <c r="GO307" i="1"/>
  <c r="GV307" i="1"/>
  <c r="HC307" i="1" s="1"/>
  <c r="GX307" i="1" s="1"/>
  <c r="D308" i="1"/>
  <c r="I308" i="1"/>
  <c r="K308" i="1"/>
  <c r="AC308" i="1"/>
  <c r="AE308" i="1"/>
  <c r="AF308" i="1"/>
  <c r="AG308" i="1"/>
  <c r="CU308" i="1" s="1"/>
  <c r="T308" i="1" s="1"/>
  <c r="AH308" i="1"/>
  <c r="CV308" i="1" s="1"/>
  <c r="U308" i="1" s="1"/>
  <c r="AI308" i="1"/>
  <c r="CW308" i="1" s="1"/>
  <c r="V308" i="1" s="1"/>
  <c r="AJ308" i="1"/>
  <c r="CX308" i="1" s="1"/>
  <c r="CQ308" i="1"/>
  <c r="P308" i="1" s="1"/>
  <c r="CR308" i="1"/>
  <c r="Q308" i="1" s="1"/>
  <c r="CS308" i="1"/>
  <c r="CT308" i="1"/>
  <c r="S308" i="1" s="1"/>
  <c r="FR308" i="1"/>
  <c r="GL308" i="1"/>
  <c r="GN308" i="1"/>
  <c r="GO308" i="1"/>
  <c r="GV308" i="1"/>
  <c r="HC308" i="1"/>
  <c r="GX308" i="1" s="1"/>
  <c r="D309" i="1"/>
  <c r="I309" i="1"/>
  <c r="K309" i="1"/>
  <c r="AC309" i="1"/>
  <c r="CQ309" i="1" s="1"/>
  <c r="P309" i="1" s="1"/>
  <c r="AD309" i="1"/>
  <c r="AB309" i="1" s="1"/>
  <c r="AE309" i="1"/>
  <c r="CR309" i="1" s="1"/>
  <c r="Q309" i="1" s="1"/>
  <c r="AF309" i="1"/>
  <c r="CT309" i="1" s="1"/>
  <c r="S309" i="1" s="1"/>
  <c r="AG309" i="1"/>
  <c r="CU309" i="1" s="1"/>
  <c r="AH309" i="1"/>
  <c r="CV309" i="1" s="1"/>
  <c r="U309" i="1" s="1"/>
  <c r="AI309" i="1"/>
  <c r="CW309" i="1" s="1"/>
  <c r="V309" i="1" s="1"/>
  <c r="AJ309" i="1"/>
  <c r="CX309" i="1" s="1"/>
  <c r="W309" i="1" s="1"/>
  <c r="FR309" i="1"/>
  <c r="GL309" i="1"/>
  <c r="GN309" i="1"/>
  <c r="GO309" i="1"/>
  <c r="GV309" i="1"/>
  <c r="HC309" i="1"/>
  <c r="GX309" i="1" s="1"/>
  <c r="D310" i="1"/>
  <c r="I310" i="1"/>
  <c r="K310" i="1"/>
  <c r="AB310" i="1"/>
  <c r="AC310" i="1"/>
  <c r="CQ310" i="1" s="1"/>
  <c r="P310" i="1" s="1"/>
  <c r="AD310" i="1"/>
  <c r="AE310" i="1"/>
  <c r="CR310" i="1" s="1"/>
  <c r="Q310" i="1" s="1"/>
  <c r="AF310" i="1"/>
  <c r="CT310" i="1" s="1"/>
  <c r="S310" i="1" s="1"/>
  <c r="AG310" i="1"/>
  <c r="CU310" i="1" s="1"/>
  <c r="T310" i="1" s="1"/>
  <c r="AH310" i="1"/>
  <c r="CV310" i="1" s="1"/>
  <c r="U310" i="1" s="1"/>
  <c r="AI310" i="1"/>
  <c r="CW310" i="1" s="1"/>
  <c r="V310" i="1" s="1"/>
  <c r="AJ310" i="1"/>
  <c r="CX310" i="1" s="1"/>
  <c r="W310" i="1" s="1"/>
  <c r="FR310" i="1"/>
  <c r="GL310" i="1"/>
  <c r="GN310" i="1"/>
  <c r="GO310" i="1"/>
  <c r="GV310" i="1"/>
  <c r="HC310" i="1" s="1"/>
  <c r="GX310" i="1" s="1"/>
  <c r="D311" i="1"/>
  <c r="AC311" i="1"/>
  <c r="AE311" i="1"/>
  <c r="AF311" i="1"/>
  <c r="AG311" i="1"/>
  <c r="AH311" i="1"/>
  <c r="CV311" i="1" s="1"/>
  <c r="U311" i="1" s="1"/>
  <c r="AI311" i="1"/>
  <c r="CW311" i="1" s="1"/>
  <c r="V311" i="1" s="1"/>
  <c r="AJ311" i="1"/>
  <c r="CX311" i="1" s="1"/>
  <c r="W311" i="1" s="1"/>
  <c r="CQ311" i="1"/>
  <c r="P311" i="1" s="1"/>
  <c r="CU311" i="1"/>
  <c r="T311" i="1" s="1"/>
  <c r="FR311" i="1"/>
  <c r="GL311" i="1"/>
  <c r="GN311" i="1"/>
  <c r="GO311" i="1"/>
  <c r="GV311" i="1"/>
  <c r="HC311" i="1" s="1"/>
  <c r="GX311" i="1" s="1"/>
  <c r="D312" i="1"/>
  <c r="AC312" i="1"/>
  <c r="CQ312" i="1" s="1"/>
  <c r="P312" i="1" s="1"/>
  <c r="AE312" i="1"/>
  <c r="CR312" i="1" s="1"/>
  <c r="Q312" i="1" s="1"/>
  <c r="AF312" i="1"/>
  <c r="CT312" i="1" s="1"/>
  <c r="S312" i="1" s="1"/>
  <c r="AG312" i="1"/>
  <c r="CU312" i="1" s="1"/>
  <c r="T312" i="1" s="1"/>
  <c r="AH312" i="1"/>
  <c r="CV312" i="1" s="1"/>
  <c r="U312" i="1" s="1"/>
  <c r="AI312" i="1"/>
  <c r="AJ312" i="1"/>
  <c r="CS312" i="1"/>
  <c r="R312" i="1" s="1"/>
  <c r="GK312" i="1" s="1"/>
  <c r="CW312" i="1"/>
  <c r="V312" i="1" s="1"/>
  <c r="CX312" i="1"/>
  <c r="W312" i="1" s="1"/>
  <c r="FR312" i="1"/>
  <c r="GL312" i="1"/>
  <c r="GN312" i="1"/>
  <c r="GO312" i="1"/>
  <c r="GV312" i="1"/>
  <c r="HC312" i="1" s="1"/>
  <c r="GX312" i="1" s="1"/>
  <c r="D313" i="1"/>
  <c r="S313" i="1"/>
  <c r="AC313" i="1"/>
  <c r="AE313" i="1"/>
  <c r="CS313" i="1" s="1"/>
  <c r="R313" i="1" s="1"/>
  <c r="GK313" i="1" s="1"/>
  <c r="AF313" i="1"/>
  <c r="CT313" i="1" s="1"/>
  <c r="AG313" i="1"/>
  <c r="CU313" i="1" s="1"/>
  <c r="T313" i="1" s="1"/>
  <c r="AH313" i="1"/>
  <c r="CV313" i="1" s="1"/>
  <c r="U313" i="1" s="1"/>
  <c r="AI313" i="1"/>
  <c r="CW313" i="1" s="1"/>
  <c r="V313" i="1" s="1"/>
  <c r="AJ313" i="1"/>
  <c r="CX313" i="1" s="1"/>
  <c r="W313" i="1" s="1"/>
  <c r="CQ313" i="1"/>
  <c r="P313" i="1" s="1"/>
  <c r="FR313" i="1"/>
  <c r="GL313" i="1"/>
  <c r="GN313" i="1"/>
  <c r="GO313" i="1"/>
  <c r="GV313" i="1"/>
  <c r="GX313" i="1"/>
  <c r="HC313" i="1"/>
  <c r="D314" i="1"/>
  <c r="AC314" i="1"/>
  <c r="CQ314" i="1" s="1"/>
  <c r="P314" i="1" s="1"/>
  <c r="AE314" i="1"/>
  <c r="AF314" i="1"/>
  <c r="AG314" i="1"/>
  <c r="CU314" i="1" s="1"/>
  <c r="T314" i="1" s="1"/>
  <c r="AH314" i="1"/>
  <c r="CV314" i="1" s="1"/>
  <c r="U314" i="1" s="1"/>
  <c r="AI314" i="1"/>
  <c r="CW314" i="1" s="1"/>
  <c r="V314" i="1" s="1"/>
  <c r="AJ314" i="1"/>
  <c r="CX314" i="1" s="1"/>
  <c r="W314" i="1" s="1"/>
  <c r="FR314" i="1"/>
  <c r="GL314" i="1"/>
  <c r="GN314" i="1"/>
  <c r="GO314" i="1"/>
  <c r="GV314" i="1"/>
  <c r="HC314" i="1"/>
  <c r="GX314" i="1" s="1"/>
  <c r="D315" i="1"/>
  <c r="AC315" i="1"/>
  <c r="CQ315" i="1" s="1"/>
  <c r="P315" i="1" s="1"/>
  <c r="AE315" i="1"/>
  <c r="CR315" i="1" s="1"/>
  <c r="Q315" i="1" s="1"/>
  <c r="AF315" i="1"/>
  <c r="CT315" i="1" s="1"/>
  <c r="S315" i="1" s="1"/>
  <c r="CY315" i="1" s="1"/>
  <c r="X315" i="1" s="1"/>
  <c r="AG315" i="1"/>
  <c r="CU315" i="1" s="1"/>
  <c r="T315" i="1" s="1"/>
  <c r="AH315" i="1"/>
  <c r="CV315" i="1" s="1"/>
  <c r="U315" i="1" s="1"/>
  <c r="AI315" i="1"/>
  <c r="CW315" i="1" s="1"/>
  <c r="V315" i="1" s="1"/>
  <c r="AJ315" i="1"/>
  <c r="CX315" i="1" s="1"/>
  <c r="W315" i="1" s="1"/>
  <c r="CZ315" i="1"/>
  <c r="Y315" i="1" s="1"/>
  <c r="FR315" i="1"/>
  <c r="GL315" i="1"/>
  <c r="GN315" i="1"/>
  <c r="GO315" i="1"/>
  <c r="GV315" i="1"/>
  <c r="HC315" i="1" s="1"/>
  <c r="GX315" i="1"/>
  <c r="D316" i="1"/>
  <c r="AC316" i="1"/>
  <c r="AE316" i="1"/>
  <c r="AF316" i="1"/>
  <c r="AG316" i="1"/>
  <c r="CU316" i="1" s="1"/>
  <c r="T316" i="1" s="1"/>
  <c r="AH316" i="1"/>
  <c r="CV316" i="1" s="1"/>
  <c r="U316" i="1" s="1"/>
  <c r="AI316" i="1"/>
  <c r="CW316" i="1" s="1"/>
  <c r="V316" i="1" s="1"/>
  <c r="AJ316" i="1"/>
  <c r="CX316" i="1"/>
  <c r="W316" i="1" s="1"/>
  <c r="FR316" i="1"/>
  <c r="GL316" i="1"/>
  <c r="GN316" i="1"/>
  <c r="GO316" i="1"/>
  <c r="GV316" i="1"/>
  <c r="HC316" i="1" s="1"/>
  <c r="GX316" i="1"/>
  <c r="D317" i="1"/>
  <c r="I317" i="1"/>
  <c r="K317" i="1"/>
  <c r="AC317" i="1"/>
  <c r="CQ317" i="1" s="1"/>
  <c r="P317" i="1" s="1"/>
  <c r="AE317" i="1"/>
  <c r="AF317" i="1"/>
  <c r="AG317" i="1"/>
  <c r="CU317" i="1" s="1"/>
  <c r="T317" i="1" s="1"/>
  <c r="AH317" i="1"/>
  <c r="AI317" i="1"/>
  <c r="CW317" i="1" s="1"/>
  <c r="V317" i="1" s="1"/>
  <c r="AJ317" i="1"/>
  <c r="CX317" i="1" s="1"/>
  <c r="W317" i="1" s="1"/>
  <c r="CT317" i="1"/>
  <c r="S317" i="1" s="1"/>
  <c r="CV317" i="1"/>
  <c r="U317" i="1" s="1"/>
  <c r="FR317" i="1"/>
  <c r="GL317" i="1"/>
  <c r="GN317" i="1"/>
  <c r="GO317" i="1"/>
  <c r="GV317" i="1"/>
  <c r="HC317" i="1" s="1"/>
  <c r="GX317" i="1" s="1"/>
  <c r="B319" i="1"/>
  <c r="B298" i="1" s="1"/>
  <c r="C319" i="1"/>
  <c r="C298" i="1" s="1"/>
  <c r="D319" i="1"/>
  <c r="D298" i="1" s="1"/>
  <c r="F319" i="1"/>
  <c r="F298" i="1" s="1"/>
  <c r="G319" i="1"/>
  <c r="BC319" i="1"/>
  <c r="BX319" i="1"/>
  <c r="AO319" i="1" s="1"/>
  <c r="CK319" i="1"/>
  <c r="CK298" i="1" s="1"/>
  <c r="CL319" i="1"/>
  <c r="CL298" i="1" s="1"/>
  <c r="CM319" i="1"/>
  <c r="CM298" i="1" s="1"/>
  <c r="D349" i="1"/>
  <c r="B351" i="1"/>
  <c r="E351" i="1"/>
  <c r="Z351" i="1"/>
  <c r="AA351" i="1"/>
  <c r="AJ351" i="1"/>
  <c r="AM351" i="1"/>
  <c r="AN351" i="1"/>
  <c r="BE351" i="1"/>
  <c r="BF351" i="1"/>
  <c r="BG351" i="1"/>
  <c r="BH351" i="1"/>
  <c r="BI351" i="1"/>
  <c r="BJ351" i="1"/>
  <c r="BK351" i="1"/>
  <c r="BL351" i="1"/>
  <c r="BM351" i="1"/>
  <c r="BN351" i="1"/>
  <c r="BO351" i="1"/>
  <c r="BP351" i="1"/>
  <c r="BQ351" i="1"/>
  <c r="BR351" i="1"/>
  <c r="BS351" i="1"/>
  <c r="BT351" i="1"/>
  <c r="BU351" i="1"/>
  <c r="BV351" i="1"/>
  <c r="BW351" i="1"/>
  <c r="BZ351" i="1"/>
  <c r="CB351" i="1"/>
  <c r="CN351" i="1"/>
  <c r="CO351" i="1"/>
  <c r="CP351" i="1"/>
  <c r="CQ351" i="1"/>
  <c r="CR351" i="1"/>
  <c r="CS351" i="1"/>
  <c r="CT351" i="1"/>
  <c r="CU351" i="1"/>
  <c r="CV351" i="1"/>
  <c r="CW351" i="1"/>
  <c r="CX351" i="1"/>
  <c r="CY351" i="1"/>
  <c r="CZ351" i="1"/>
  <c r="DA351" i="1"/>
  <c r="DB351" i="1"/>
  <c r="DC351" i="1"/>
  <c r="DD351" i="1"/>
  <c r="DE351" i="1"/>
  <c r="DF351" i="1"/>
  <c r="DG351" i="1"/>
  <c r="DH351" i="1"/>
  <c r="DI351" i="1"/>
  <c r="DJ351" i="1"/>
  <c r="DK351" i="1"/>
  <c r="DL351" i="1"/>
  <c r="DM351" i="1"/>
  <c r="DN351" i="1"/>
  <c r="DO351" i="1"/>
  <c r="DP351" i="1"/>
  <c r="DQ351" i="1"/>
  <c r="DR351" i="1"/>
  <c r="DS351" i="1"/>
  <c r="DT351" i="1"/>
  <c r="DU351" i="1"/>
  <c r="DV351" i="1"/>
  <c r="DW351" i="1"/>
  <c r="DX351" i="1"/>
  <c r="DY351" i="1"/>
  <c r="DZ351" i="1"/>
  <c r="EA351" i="1"/>
  <c r="EB351" i="1"/>
  <c r="EC351" i="1"/>
  <c r="ED351" i="1"/>
  <c r="EE351" i="1"/>
  <c r="EF351" i="1"/>
  <c r="EG351" i="1"/>
  <c r="EH351" i="1"/>
  <c r="EI351" i="1"/>
  <c r="EJ351" i="1"/>
  <c r="EK351" i="1"/>
  <c r="EL351" i="1"/>
  <c r="EM351" i="1"/>
  <c r="EN351" i="1"/>
  <c r="EO351" i="1"/>
  <c r="EP351" i="1"/>
  <c r="EQ351" i="1"/>
  <c r="ER351" i="1"/>
  <c r="ES351" i="1"/>
  <c r="ET351" i="1"/>
  <c r="EU351" i="1"/>
  <c r="EV351" i="1"/>
  <c r="EW351" i="1"/>
  <c r="EX351" i="1"/>
  <c r="EY351" i="1"/>
  <c r="EZ351" i="1"/>
  <c r="FA351" i="1"/>
  <c r="FB351" i="1"/>
  <c r="FC351" i="1"/>
  <c r="FD351" i="1"/>
  <c r="FE351" i="1"/>
  <c r="FF351" i="1"/>
  <c r="FG351" i="1"/>
  <c r="FH351" i="1"/>
  <c r="FI351" i="1"/>
  <c r="FJ351" i="1"/>
  <c r="FK351" i="1"/>
  <c r="FL351" i="1"/>
  <c r="FM351" i="1"/>
  <c r="FN351" i="1"/>
  <c r="FO351" i="1"/>
  <c r="FP351" i="1"/>
  <c r="FQ351" i="1"/>
  <c r="FR351" i="1"/>
  <c r="FS351" i="1"/>
  <c r="FT351" i="1"/>
  <c r="FU351" i="1"/>
  <c r="FV351" i="1"/>
  <c r="FW351" i="1"/>
  <c r="FX351" i="1"/>
  <c r="FY351" i="1"/>
  <c r="FZ351" i="1"/>
  <c r="GA351" i="1"/>
  <c r="GB351" i="1"/>
  <c r="GC351" i="1"/>
  <c r="GD351" i="1"/>
  <c r="GE351" i="1"/>
  <c r="GF351" i="1"/>
  <c r="GG351" i="1"/>
  <c r="GH351" i="1"/>
  <c r="GI351" i="1"/>
  <c r="GJ351" i="1"/>
  <c r="GK351" i="1"/>
  <c r="GL351" i="1"/>
  <c r="GM351" i="1"/>
  <c r="GN351" i="1"/>
  <c r="GO351" i="1"/>
  <c r="GP351" i="1"/>
  <c r="GQ351" i="1"/>
  <c r="GR351" i="1"/>
  <c r="GS351" i="1"/>
  <c r="GT351" i="1"/>
  <c r="GU351" i="1"/>
  <c r="GV351" i="1"/>
  <c r="GW351" i="1"/>
  <c r="GX351" i="1"/>
  <c r="D353" i="1"/>
  <c r="I353" i="1"/>
  <c r="K353" i="1"/>
  <c r="U353" i="1"/>
  <c r="AC353" i="1"/>
  <c r="AD353" i="1"/>
  <c r="AE353" i="1"/>
  <c r="CR353" i="1" s="1"/>
  <c r="AF353" i="1"/>
  <c r="CT353" i="1" s="1"/>
  <c r="AG353" i="1"/>
  <c r="CU353" i="1" s="1"/>
  <c r="AH353" i="1"/>
  <c r="AI353" i="1"/>
  <c r="CW353" i="1" s="1"/>
  <c r="AJ353" i="1"/>
  <c r="CS353" i="1"/>
  <c r="CV353" i="1"/>
  <c r="CX353" i="1"/>
  <c r="FR353" i="1"/>
  <c r="GL353" i="1"/>
  <c r="GN353" i="1"/>
  <c r="GO353" i="1"/>
  <c r="GV353" i="1"/>
  <c r="HC353" i="1"/>
  <c r="D354" i="1"/>
  <c r="I354" i="1"/>
  <c r="K354" i="1"/>
  <c r="AC354" i="1"/>
  <c r="CQ354" i="1" s="1"/>
  <c r="P354" i="1" s="1"/>
  <c r="AE354" i="1"/>
  <c r="AF354" i="1"/>
  <c r="CT354" i="1" s="1"/>
  <c r="S354" i="1" s="1"/>
  <c r="AG354" i="1"/>
  <c r="CU354" i="1" s="1"/>
  <c r="T354" i="1" s="1"/>
  <c r="AH354" i="1"/>
  <c r="CV354" i="1" s="1"/>
  <c r="U354" i="1" s="1"/>
  <c r="AI354" i="1"/>
  <c r="AJ354" i="1"/>
  <c r="CX354" i="1" s="1"/>
  <c r="W354" i="1" s="1"/>
  <c r="CR354" i="1"/>
  <c r="Q354" i="1" s="1"/>
  <c r="CW354" i="1"/>
  <c r="V354" i="1" s="1"/>
  <c r="FR354" i="1"/>
  <c r="GL354" i="1"/>
  <c r="GN354" i="1"/>
  <c r="GO354" i="1"/>
  <c r="GV354" i="1"/>
  <c r="HC354" i="1"/>
  <c r="GX354" i="1" s="1"/>
  <c r="B356" i="1"/>
  <c r="C356" i="1"/>
  <c r="C351" i="1" s="1"/>
  <c r="D356" i="1"/>
  <c r="D351" i="1" s="1"/>
  <c r="F356" i="1"/>
  <c r="F351" i="1" s="1"/>
  <c r="G356" i="1"/>
  <c r="W356" i="1"/>
  <c r="AB356" i="1"/>
  <c r="AB351" i="1" s="1"/>
  <c r="AC356" i="1"/>
  <c r="P356" i="1" s="1"/>
  <c r="AD356" i="1"/>
  <c r="Q356" i="1" s="1"/>
  <c r="Q351" i="1" s="1"/>
  <c r="AE356" i="1"/>
  <c r="AE351" i="1" s="1"/>
  <c r="AF356" i="1"/>
  <c r="AG356" i="1"/>
  <c r="AH356" i="1"/>
  <c r="AH351" i="1" s="1"/>
  <c r="AI356" i="1"/>
  <c r="AI351" i="1" s="1"/>
  <c r="AJ356" i="1"/>
  <c r="AK356" i="1"/>
  <c r="AL356" i="1"/>
  <c r="AL351" i="1" s="1"/>
  <c r="AQ356" i="1"/>
  <c r="F366" i="1" s="1"/>
  <c r="AU356" i="1"/>
  <c r="BX356" i="1"/>
  <c r="BY356" i="1"/>
  <c r="BY351" i="1" s="1"/>
  <c r="BZ356" i="1"/>
  <c r="CA356" i="1"/>
  <c r="AR356" i="1" s="1"/>
  <c r="AR351" i="1" s="1"/>
  <c r="CB356" i="1"/>
  <c r="AS356" i="1" s="1"/>
  <c r="CC356" i="1"/>
  <c r="AT356" i="1" s="1"/>
  <c r="CD356" i="1"/>
  <c r="CD351" i="1" s="1"/>
  <c r="CI356" i="1"/>
  <c r="CI351" i="1" s="1"/>
  <c r="CJ356" i="1"/>
  <c r="CJ351" i="1" s="1"/>
  <c r="CK356" i="1"/>
  <c r="CK351" i="1" s="1"/>
  <c r="CL356" i="1"/>
  <c r="BC356" i="1" s="1"/>
  <c r="BC351" i="1" s="1"/>
  <c r="CM356" i="1"/>
  <c r="BD356" i="1" s="1"/>
  <c r="BD351" i="1" s="1"/>
  <c r="D386" i="1"/>
  <c r="B388" i="1"/>
  <c r="D388" i="1"/>
  <c r="E388" i="1"/>
  <c r="Z388" i="1"/>
  <c r="AA388" i="1"/>
  <c r="AM388" i="1"/>
  <c r="AN388" i="1"/>
  <c r="BE388" i="1"/>
  <c r="BF388" i="1"/>
  <c r="BG388" i="1"/>
  <c r="BH388" i="1"/>
  <c r="BI388" i="1"/>
  <c r="BJ388" i="1"/>
  <c r="BK388" i="1"/>
  <c r="BL388" i="1"/>
  <c r="BM388" i="1"/>
  <c r="BN388" i="1"/>
  <c r="BO388" i="1"/>
  <c r="BP388" i="1"/>
  <c r="BQ388" i="1"/>
  <c r="BR388" i="1"/>
  <c r="BS388" i="1"/>
  <c r="BT388" i="1"/>
  <c r="BU388" i="1"/>
  <c r="BV388" i="1"/>
  <c r="BW388" i="1"/>
  <c r="CM388" i="1"/>
  <c r="CN388" i="1"/>
  <c r="CO388" i="1"/>
  <c r="CP388" i="1"/>
  <c r="CQ388" i="1"/>
  <c r="CR388" i="1"/>
  <c r="CS388" i="1"/>
  <c r="CT388" i="1"/>
  <c r="CU388" i="1"/>
  <c r="CV388" i="1"/>
  <c r="CW388" i="1"/>
  <c r="CX388" i="1"/>
  <c r="CY388" i="1"/>
  <c r="CZ388" i="1"/>
  <c r="DA388" i="1"/>
  <c r="DB388" i="1"/>
  <c r="DC388" i="1"/>
  <c r="DD388" i="1"/>
  <c r="DE388" i="1"/>
  <c r="DF388" i="1"/>
  <c r="DG388" i="1"/>
  <c r="DH388" i="1"/>
  <c r="DI388" i="1"/>
  <c r="DJ388" i="1"/>
  <c r="DK388" i="1"/>
  <c r="DL388" i="1"/>
  <c r="DM388" i="1"/>
  <c r="DN388" i="1"/>
  <c r="DO388" i="1"/>
  <c r="DP388" i="1"/>
  <c r="DQ388" i="1"/>
  <c r="DR388" i="1"/>
  <c r="DS388" i="1"/>
  <c r="DT388" i="1"/>
  <c r="DU388" i="1"/>
  <c r="DV388" i="1"/>
  <c r="DW388" i="1"/>
  <c r="DX388" i="1"/>
  <c r="DY388" i="1"/>
  <c r="DZ388" i="1"/>
  <c r="EA388" i="1"/>
  <c r="EB388" i="1"/>
  <c r="EC388" i="1"/>
  <c r="ED388" i="1"/>
  <c r="EE388" i="1"/>
  <c r="EF388" i="1"/>
  <c r="EG388" i="1"/>
  <c r="EH388" i="1"/>
  <c r="EI388" i="1"/>
  <c r="EJ388" i="1"/>
  <c r="EK388" i="1"/>
  <c r="EL388" i="1"/>
  <c r="EM388" i="1"/>
  <c r="EN388" i="1"/>
  <c r="EO388" i="1"/>
  <c r="EP388" i="1"/>
  <c r="EQ388" i="1"/>
  <c r="ER388" i="1"/>
  <c r="ES388" i="1"/>
  <c r="ET388" i="1"/>
  <c r="EU388" i="1"/>
  <c r="EV388" i="1"/>
  <c r="EW388" i="1"/>
  <c r="EX388" i="1"/>
  <c r="EY388" i="1"/>
  <c r="EZ388" i="1"/>
  <c r="FA388" i="1"/>
  <c r="FB388" i="1"/>
  <c r="FC388" i="1"/>
  <c r="FD388" i="1"/>
  <c r="FE388" i="1"/>
  <c r="FF388" i="1"/>
  <c r="FG388" i="1"/>
  <c r="FH388" i="1"/>
  <c r="FI388" i="1"/>
  <c r="FJ388" i="1"/>
  <c r="FK388" i="1"/>
  <c r="FL388" i="1"/>
  <c r="FM388" i="1"/>
  <c r="FN388" i="1"/>
  <c r="FO388" i="1"/>
  <c r="FP388" i="1"/>
  <c r="FQ388" i="1"/>
  <c r="FR388" i="1"/>
  <c r="FS388" i="1"/>
  <c r="FT388" i="1"/>
  <c r="FU388" i="1"/>
  <c r="FV388" i="1"/>
  <c r="FW388" i="1"/>
  <c r="FX388" i="1"/>
  <c r="FY388" i="1"/>
  <c r="FZ388" i="1"/>
  <c r="GA388" i="1"/>
  <c r="GB388" i="1"/>
  <c r="GC388" i="1"/>
  <c r="GD388" i="1"/>
  <c r="GE388" i="1"/>
  <c r="GF388" i="1"/>
  <c r="GG388" i="1"/>
  <c r="GH388" i="1"/>
  <c r="GI388" i="1"/>
  <c r="GJ388" i="1"/>
  <c r="GK388" i="1"/>
  <c r="GL388" i="1"/>
  <c r="GM388" i="1"/>
  <c r="GN388" i="1"/>
  <c r="GO388" i="1"/>
  <c r="GP388" i="1"/>
  <c r="GQ388" i="1"/>
  <c r="GR388" i="1"/>
  <c r="GS388" i="1"/>
  <c r="GT388" i="1"/>
  <c r="GU388" i="1"/>
  <c r="GV388" i="1"/>
  <c r="GW388" i="1"/>
  <c r="GX388" i="1"/>
  <c r="D390" i="1"/>
  <c r="I390" i="1"/>
  <c r="K390" i="1"/>
  <c r="W390" i="1"/>
  <c r="AC390" i="1"/>
  <c r="CQ390" i="1" s="1"/>
  <c r="P390" i="1" s="1"/>
  <c r="AD390" i="1"/>
  <c r="AE390" i="1"/>
  <c r="AF390" i="1"/>
  <c r="AG390" i="1"/>
  <c r="CU390" i="1" s="1"/>
  <c r="T390" i="1" s="1"/>
  <c r="AH390" i="1"/>
  <c r="CV390" i="1" s="1"/>
  <c r="U390" i="1" s="1"/>
  <c r="AI390" i="1"/>
  <c r="AJ390" i="1"/>
  <c r="CX390" i="1" s="1"/>
  <c r="CR390" i="1"/>
  <c r="Q390" i="1" s="1"/>
  <c r="CW390" i="1"/>
  <c r="V390" i="1" s="1"/>
  <c r="FR390" i="1"/>
  <c r="GL390" i="1"/>
  <c r="GN390" i="1"/>
  <c r="CB397" i="1" s="1"/>
  <c r="GO390" i="1"/>
  <c r="GV390" i="1"/>
  <c r="HC390" i="1" s="1"/>
  <c r="GX390" i="1" s="1"/>
  <c r="D391" i="1"/>
  <c r="I391" i="1"/>
  <c r="K391" i="1"/>
  <c r="U391" i="1"/>
  <c r="AC391" i="1"/>
  <c r="CQ391" i="1" s="1"/>
  <c r="P391" i="1" s="1"/>
  <c r="AE391" i="1"/>
  <c r="AF391" i="1"/>
  <c r="AG391" i="1"/>
  <c r="CU391" i="1" s="1"/>
  <c r="T391" i="1" s="1"/>
  <c r="AH391" i="1"/>
  <c r="AI391" i="1"/>
  <c r="AJ391" i="1"/>
  <c r="CX391" i="1" s="1"/>
  <c r="W391" i="1" s="1"/>
  <c r="CR391" i="1"/>
  <c r="Q391" i="1" s="1"/>
  <c r="CV391" i="1"/>
  <c r="CW391" i="1"/>
  <c r="V391" i="1" s="1"/>
  <c r="FR391" i="1"/>
  <c r="GL391" i="1"/>
  <c r="GN391" i="1"/>
  <c r="GO391" i="1"/>
  <c r="GV391" i="1"/>
  <c r="HC391" i="1"/>
  <c r="GX391" i="1" s="1"/>
  <c r="D392" i="1"/>
  <c r="I392" i="1"/>
  <c r="K392" i="1"/>
  <c r="AC392" i="1"/>
  <c r="AD392" i="1"/>
  <c r="AE392" i="1"/>
  <c r="AF392" i="1"/>
  <c r="AG392" i="1"/>
  <c r="CU392" i="1" s="1"/>
  <c r="AH392" i="1"/>
  <c r="CV392" i="1" s="1"/>
  <c r="U392" i="1" s="1"/>
  <c r="AI392" i="1"/>
  <c r="CW392" i="1" s="1"/>
  <c r="V392" i="1" s="1"/>
  <c r="AJ392" i="1"/>
  <c r="CX392" i="1" s="1"/>
  <c r="CQ392" i="1"/>
  <c r="P392" i="1" s="1"/>
  <c r="FR392" i="1"/>
  <c r="GL392" i="1"/>
  <c r="GN392" i="1"/>
  <c r="GO392" i="1"/>
  <c r="GV392" i="1"/>
  <c r="HC392" i="1" s="1"/>
  <c r="D393" i="1"/>
  <c r="I393" i="1"/>
  <c r="K393" i="1"/>
  <c r="AC393" i="1"/>
  <c r="AD393" i="1"/>
  <c r="AB393" i="1" s="1"/>
  <c r="AE393" i="1"/>
  <c r="AF393" i="1"/>
  <c r="CT393" i="1" s="1"/>
  <c r="S393" i="1" s="1"/>
  <c r="AG393" i="1"/>
  <c r="CU393" i="1" s="1"/>
  <c r="AH393" i="1"/>
  <c r="CV393" i="1" s="1"/>
  <c r="U393" i="1" s="1"/>
  <c r="AI393" i="1"/>
  <c r="AJ393" i="1"/>
  <c r="CX393" i="1" s="1"/>
  <c r="W393" i="1" s="1"/>
  <c r="CQ393" i="1"/>
  <c r="P393" i="1" s="1"/>
  <c r="CR393" i="1"/>
  <c r="Q393" i="1" s="1"/>
  <c r="CS393" i="1"/>
  <c r="CW393" i="1"/>
  <c r="FR393" i="1"/>
  <c r="GL393" i="1"/>
  <c r="GN393" i="1"/>
  <c r="GO393" i="1"/>
  <c r="GV393" i="1"/>
  <c r="HC393" i="1" s="1"/>
  <c r="GX393" i="1" s="1"/>
  <c r="D394" i="1"/>
  <c r="I394" i="1"/>
  <c r="K394" i="1"/>
  <c r="AC394" i="1"/>
  <c r="AD394" i="1"/>
  <c r="AE394" i="1"/>
  <c r="AF394" i="1"/>
  <c r="AG394" i="1"/>
  <c r="CU394" i="1" s="1"/>
  <c r="AH394" i="1"/>
  <c r="CV394" i="1" s="1"/>
  <c r="AI394" i="1"/>
  <c r="CW394" i="1" s="1"/>
  <c r="AJ394" i="1"/>
  <c r="CX394" i="1" s="1"/>
  <c r="CR394" i="1"/>
  <c r="CS394" i="1"/>
  <c r="FR394" i="1"/>
  <c r="GL394" i="1"/>
  <c r="GN394" i="1"/>
  <c r="GO394" i="1"/>
  <c r="GV394" i="1"/>
  <c r="HC394" i="1" s="1"/>
  <c r="D395" i="1"/>
  <c r="I395" i="1"/>
  <c r="K395" i="1"/>
  <c r="AC395" i="1"/>
  <c r="CQ395" i="1" s="1"/>
  <c r="P395" i="1" s="1"/>
  <c r="AE395" i="1"/>
  <c r="AF395" i="1"/>
  <c r="AG395" i="1"/>
  <c r="AH395" i="1"/>
  <c r="AI395" i="1"/>
  <c r="CW395" i="1" s="1"/>
  <c r="V395" i="1" s="1"/>
  <c r="AJ395" i="1"/>
  <c r="CX395" i="1" s="1"/>
  <c r="W395" i="1" s="1"/>
  <c r="CU395" i="1"/>
  <c r="CV395" i="1"/>
  <c r="U395" i="1" s="1"/>
  <c r="FR395" i="1"/>
  <c r="GL395" i="1"/>
  <c r="GN395" i="1"/>
  <c r="GO395" i="1"/>
  <c r="GV395" i="1"/>
  <c r="HC395" i="1"/>
  <c r="GX395" i="1" s="1"/>
  <c r="B397" i="1"/>
  <c r="C397" i="1"/>
  <c r="C388" i="1" s="1"/>
  <c r="D397" i="1"/>
  <c r="F397" i="1"/>
  <c r="F388" i="1" s="1"/>
  <c r="G397" i="1"/>
  <c r="BC397" i="1"/>
  <c r="BX397" i="1"/>
  <c r="CK397" i="1"/>
  <c r="BB397" i="1" s="1"/>
  <c r="BB388" i="1" s="1"/>
  <c r="CL397" i="1"/>
  <c r="CL388" i="1" s="1"/>
  <c r="CM397" i="1"/>
  <c r="BD397" i="1" s="1"/>
  <c r="D427" i="1"/>
  <c r="E429" i="1"/>
  <c r="Z429" i="1"/>
  <c r="AA429" i="1"/>
  <c r="AM429" i="1"/>
  <c r="AN429" i="1"/>
  <c r="BE429" i="1"/>
  <c r="BF429" i="1"/>
  <c r="BG429" i="1"/>
  <c r="BH429" i="1"/>
  <c r="BI429" i="1"/>
  <c r="BJ429" i="1"/>
  <c r="BK429" i="1"/>
  <c r="BL429" i="1"/>
  <c r="BM429" i="1"/>
  <c r="BN429" i="1"/>
  <c r="BO429" i="1"/>
  <c r="BP429" i="1"/>
  <c r="BQ429" i="1"/>
  <c r="BR429" i="1"/>
  <c r="BS429" i="1"/>
  <c r="BT429" i="1"/>
  <c r="BU429" i="1"/>
  <c r="BV429" i="1"/>
  <c r="BW429" i="1"/>
  <c r="CN429" i="1"/>
  <c r="CO429" i="1"/>
  <c r="CP429" i="1"/>
  <c r="CQ429" i="1"/>
  <c r="CR429" i="1"/>
  <c r="CS429" i="1"/>
  <c r="CT429" i="1"/>
  <c r="CU429" i="1"/>
  <c r="CV429" i="1"/>
  <c r="CW429" i="1"/>
  <c r="CX429" i="1"/>
  <c r="CY429" i="1"/>
  <c r="CZ429" i="1"/>
  <c r="DA429" i="1"/>
  <c r="DB429" i="1"/>
  <c r="DC429" i="1"/>
  <c r="DD429" i="1"/>
  <c r="DE429" i="1"/>
  <c r="DF429" i="1"/>
  <c r="DG429" i="1"/>
  <c r="DH429" i="1"/>
  <c r="DI429" i="1"/>
  <c r="DJ429" i="1"/>
  <c r="DK429" i="1"/>
  <c r="DL429" i="1"/>
  <c r="DM429" i="1"/>
  <c r="DN429" i="1"/>
  <c r="DO429" i="1"/>
  <c r="DP429" i="1"/>
  <c r="DQ429" i="1"/>
  <c r="DR429" i="1"/>
  <c r="DS429" i="1"/>
  <c r="DT429" i="1"/>
  <c r="DU429" i="1"/>
  <c r="DV429" i="1"/>
  <c r="DW429" i="1"/>
  <c r="DX429" i="1"/>
  <c r="DY429" i="1"/>
  <c r="DZ429" i="1"/>
  <c r="EA429" i="1"/>
  <c r="EB429" i="1"/>
  <c r="EC429" i="1"/>
  <c r="ED429" i="1"/>
  <c r="EE429" i="1"/>
  <c r="EF429" i="1"/>
  <c r="EG429" i="1"/>
  <c r="EH429" i="1"/>
  <c r="EI429" i="1"/>
  <c r="EJ429" i="1"/>
  <c r="EK429" i="1"/>
  <c r="EL429" i="1"/>
  <c r="EM429" i="1"/>
  <c r="EN429" i="1"/>
  <c r="EO429" i="1"/>
  <c r="EP429" i="1"/>
  <c r="EQ429" i="1"/>
  <c r="ER429" i="1"/>
  <c r="ES429" i="1"/>
  <c r="ET429" i="1"/>
  <c r="EU429" i="1"/>
  <c r="EV429" i="1"/>
  <c r="EW429" i="1"/>
  <c r="EX429" i="1"/>
  <c r="EY429" i="1"/>
  <c r="EZ429" i="1"/>
  <c r="FA429" i="1"/>
  <c r="FB429" i="1"/>
  <c r="FC429" i="1"/>
  <c r="FD429" i="1"/>
  <c r="FE429" i="1"/>
  <c r="FF429" i="1"/>
  <c r="FG429" i="1"/>
  <c r="FH429" i="1"/>
  <c r="FI429" i="1"/>
  <c r="FJ429" i="1"/>
  <c r="FK429" i="1"/>
  <c r="FL429" i="1"/>
  <c r="FM429" i="1"/>
  <c r="FN429" i="1"/>
  <c r="FO429" i="1"/>
  <c r="FP429" i="1"/>
  <c r="FQ429" i="1"/>
  <c r="FR429" i="1"/>
  <c r="FS429" i="1"/>
  <c r="FT429" i="1"/>
  <c r="FU429" i="1"/>
  <c r="FV429" i="1"/>
  <c r="FW429" i="1"/>
  <c r="FX429" i="1"/>
  <c r="FY429" i="1"/>
  <c r="FZ429" i="1"/>
  <c r="GA429" i="1"/>
  <c r="GB429" i="1"/>
  <c r="GC429" i="1"/>
  <c r="GD429" i="1"/>
  <c r="GE429" i="1"/>
  <c r="GF429" i="1"/>
  <c r="GG429" i="1"/>
  <c r="GH429" i="1"/>
  <c r="GI429" i="1"/>
  <c r="GJ429" i="1"/>
  <c r="GK429" i="1"/>
  <c r="GL429" i="1"/>
  <c r="GM429" i="1"/>
  <c r="GN429" i="1"/>
  <c r="GO429" i="1"/>
  <c r="GP429" i="1"/>
  <c r="GQ429" i="1"/>
  <c r="GR429" i="1"/>
  <c r="GS429" i="1"/>
  <c r="GT429" i="1"/>
  <c r="GU429" i="1"/>
  <c r="GV429" i="1"/>
  <c r="GW429" i="1"/>
  <c r="GX429" i="1"/>
  <c r="D431" i="1"/>
  <c r="I431" i="1"/>
  <c r="K431" i="1"/>
  <c r="AC431" i="1"/>
  <c r="CQ431" i="1" s="1"/>
  <c r="P431" i="1" s="1"/>
  <c r="AE431" i="1"/>
  <c r="AF431" i="1"/>
  <c r="AG431" i="1"/>
  <c r="CU431" i="1" s="1"/>
  <c r="T431" i="1" s="1"/>
  <c r="AH431" i="1"/>
  <c r="CV431" i="1" s="1"/>
  <c r="U431" i="1" s="1"/>
  <c r="AI431" i="1"/>
  <c r="CW431" i="1" s="1"/>
  <c r="V431" i="1" s="1"/>
  <c r="AJ431" i="1"/>
  <c r="CX431" i="1" s="1"/>
  <c r="FR431" i="1"/>
  <c r="GL431" i="1"/>
  <c r="GN431" i="1"/>
  <c r="GO431" i="1"/>
  <c r="GV431" i="1"/>
  <c r="HC431" i="1" s="1"/>
  <c r="GX431" i="1" s="1"/>
  <c r="D432" i="1"/>
  <c r="I432" i="1"/>
  <c r="K432" i="1"/>
  <c r="AB432" i="1"/>
  <c r="AC432" i="1"/>
  <c r="AE432" i="1"/>
  <c r="AD432" i="1" s="1"/>
  <c r="AF432" i="1"/>
  <c r="AG432" i="1"/>
  <c r="AH432" i="1"/>
  <c r="CV432" i="1" s="1"/>
  <c r="AI432" i="1"/>
  <c r="AJ432" i="1"/>
  <c r="CX432" i="1" s="1"/>
  <c r="CQ432" i="1"/>
  <c r="CT432" i="1"/>
  <c r="CU432" i="1"/>
  <c r="CW432" i="1"/>
  <c r="V432" i="1" s="1"/>
  <c r="FR432" i="1"/>
  <c r="GL432" i="1"/>
  <c r="GN432" i="1"/>
  <c r="GO432" i="1"/>
  <c r="GV432" i="1"/>
  <c r="HC432" i="1" s="1"/>
  <c r="D433" i="1"/>
  <c r="I433" i="1"/>
  <c r="K433" i="1"/>
  <c r="AC433" i="1"/>
  <c r="CQ433" i="1" s="1"/>
  <c r="P433" i="1" s="1"/>
  <c r="AE433" i="1"/>
  <c r="AF433" i="1"/>
  <c r="AG433" i="1"/>
  <c r="CU433" i="1" s="1"/>
  <c r="T433" i="1" s="1"/>
  <c r="AH433" i="1"/>
  <c r="AI433" i="1"/>
  <c r="AJ433" i="1"/>
  <c r="CX433" i="1" s="1"/>
  <c r="W433" i="1" s="1"/>
  <c r="CT433" i="1"/>
  <c r="S433" i="1" s="1"/>
  <c r="CV433" i="1"/>
  <c r="U433" i="1" s="1"/>
  <c r="CW433" i="1"/>
  <c r="V433" i="1" s="1"/>
  <c r="FR433" i="1"/>
  <c r="GL433" i="1"/>
  <c r="GN433" i="1"/>
  <c r="GO433" i="1"/>
  <c r="GV433" i="1"/>
  <c r="HC433" i="1"/>
  <c r="GX433" i="1" s="1"/>
  <c r="D434" i="1"/>
  <c r="I434" i="1"/>
  <c r="K434" i="1"/>
  <c r="AC434" i="1"/>
  <c r="CQ434" i="1" s="1"/>
  <c r="AD434" i="1"/>
  <c r="AE434" i="1"/>
  <c r="CS434" i="1" s="1"/>
  <c r="AF434" i="1"/>
  <c r="CT434" i="1" s="1"/>
  <c r="AG434" i="1"/>
  <c r="AH434" i="1"/>
  <c r="CV434" i="1" s="1"/>
  <c r="AI434" i="1"/>
  <c r="CW434" i="1" s="1"/>
  <c r="AJ434" i="1"/>
  <c r="CX434" i="1" s="1"/>
  <c r="CR434" i="1"/>
  <c r="CU434" i="1"/>
  <c r="FR434" i="1"/>
  <c r="GL434" i="1"/>
  <c r="GN434" i="1"/>
  <c r="GO434" i="1"/>
  <c r="GV434" i="1"/>
  <c r="HC434" i="1" s="1"/>
  <c r="D435" i="1"/>
  <c r="I435" i="1"/>
  <c r="K435" i="1"/>
  <c r="AC435" i="1"/>
  <c r="AE435" i="1"/>
  <c r="AF435" i="1"/>
  <c r="AG435" i="1"/>
  <c r="CU435" i="1" s="1"/>
  <c r="T435" i="1" s="1"/>
  <c r="AH435" i="1"/>
  <c r="CV435" i="1" s="1"/>
  <c r="U435" i="1" s="1"/>
  <c r="AI435" i="1"/>
  <c r="CW435" i="1" s="1"/>
  <c r="V435" i="1" s="1"/>
  <c r="AJ435" i="1"/>
  <c r="CX435" i="1" s="1"/>
  <c r="W435" i="1" s="1"/>
  <c r="CQ435" i="1"/>
  <c r="P435" i="1" s="1"/>
  <c r="FR435" i="1"/>
  <c r="GL435" i="1"/>
  <c r="GN435" i="1"/>
  <c r="GO435" i="1"/>
  <c r="GV435" i="1"/>
  <c r="HC435" i="1" s="1"/>
  <c r="GX435" i="1" s="1"/>
  <c r="D436" i="1"/>
  <c r="I436" i="1"/>
  <c r="K436" i="1"/>
  <c r="W436" i="1"/>
  <c r="X436" i="1"/>
  <c r="AC436" i="1"/>
  <c r="CQ436" i="1" s="1"/>
  <c r="P436" i="1" s="1"/>
  <c r="AE436" i="1"/>
  <c r="AF436" i="1"/>
  <c r="AG436" i="1"/>
  <c r="AH436" i="1"/>
  <c r="CV436" i="1" s="1"/>
  <c r="U436" i="1" s="1"/>
  <c r="AI436" i="1"/>
  <c r="AJ436" i="1"/>
  <c r="CX436" i="1" s="1"/>
  <c r="CT436" i="1"/>
  <c r="S436" i="1" s="1"/>
  <c r="CY436" i="1" s="1"/>
  <c r="CU436" i="1"/>
  <c r="T436" i="1" s="1"/>
  <c r="CW436" i="1"/>
  <c r="V436" i="1" s="1"/>
  <c r="FR436" i="1"/>
  <c r="GL436" i="1"/>
  <c r="GN436" i="1"/>
  <c r="GO436" i="1"/>
  <c r="GV436" i="1"/>
  <c r="HC436" i="1"/>
  <c r="GX436" i="1" s="1"/>
  <c r="D437" i="1"/>
  <c r="I437" i="1"/>
  <c r="K437" i="1"/>
  <c r="AC437" i="1"/>
  <c r="CQ437" i="1" s="1"/>
  <c r="P437" i="1" s="1"/>
  <c r="AD437" i="1"/>
  <c r="AE437" i="1"/>
  <c r="AF437" i="1"/>
  <c r="AG437" i="1"/>
  <c r="AH437" i="1"/>
  <c r="CV437" i="1" s="1"/>
  <c r="U437" i="1" s="1"/>
  <c r="AI437" i="1"/>
  <c r="CW437" i="1" s="1"/>
  <c r="AJ437" i="1"/>
  <c r="CX437" i="1" s="1"/>
  <c r="W437" i="1" s="1"/>
  <c r="CR437" i="1"/>
  <c r="Q437" i="1" s="1"/>
  <c r="CS437" i="1"/>
  <c r="CT437" i="1"/>
  <c r="S437" i="1" s="1"/>
  <c r="CU437" i="1"/>
  <c r="T437" i="1" s="1"/>
  <c r="FR437" i="1"/>
  <c r="GL437" i="1"/>
  <c r="GN437" i="1"/>
  <c r="GO437" i="1"/>
  <c r="GV437" i="1"/>
  <c r="HC437" i="1" s="1"/>
  <c r="GX437" i="1" s="1"/>
  <c r="D438" i="1"/>
  <c r="I438" i="1"/>
  <c r="K438" i="1"/>
  <c r="AC438" i="1"/>
  <c r="CQ438" i="1" s="1"/>
  <c r="AE438" i="1"/>
  <c r="AF438" i="1"/>
  <c r="AG438" i="1"/>
  <c r="CU438" i="1" s="1"/>
  <c r="AH438" i="1"/>
  <c r="CV438" i="1" s="1"/>
  <c r="AI438" i="1"/>
  <c r="CW438" i="1" s="1"/>
  <c r="AJ438" i="1"/>
  <c r="CX438" i="1" s="1"/>
  <c r="FR438" i="1"/>
  <c r="GL438" i="1"/>
  <c r="GN438" i="1"/>
  <c r="GO438" i="1"/>
  <c r="GV438" i="1"/>
  <c r="HC438" i="1" s="1"/>
  <c r="GX438" i="1" s="1"/>
  <c r="D439" i="1"/>
  <c r="I439" i="1"/>
  <c r="K439" i="1"/>
  <c r="AC439" i="1"/>
  <c r="AE439" i="1"/>
  <c r="AF439" i="1"/>
  <c r="CT439" i="1" s="1"/>
  <c r="AG439" i="1"/>
  <c r="CU439" i="1" s="1"/>
  <c r="AH439" i="1"/>
  <c r="CV439" i="1" s="1"/>
  <c r="AI439" i="1"/>
  <c r="CW439" i="1" s="1"/>
  <c r="AJ439" i="1"/>
  <c r="CX439" i="1" s="1"/>
  <c r="CQ439" i="1"/>
  <c r="FR439" i="1"/>
  <c r="GL439" i="1"/>
  <c r="GN439" i="1"/>
  <c r="GO439" i="1"/>
  <c r="GV439" i="1"/>
  <c r="HC439" i="1" s="1"/>
  <c r="D440" i="1"/>
  <c r="I440" i="1"/>
  <c r="W440" i="1" s="1"/>
  <c r="K440" i="1"/>
  <c r="AC440" i="1"/>
  <c r="AE440" i="1"/>
  <c r="AF440" i="1"/>
  <c r="AG440" i="1"/>
  <c r="AH440" i="1"/>
  <c r="AI440" i="1"/>
  <c r="AJ440" i="1"/>
  <c r="CX440" i="1" s="1"/>
  <c r="CQ440" i="1"/>
  <c r="P440" i="1" s="1"/>
  <c r="CU440" i="1"/>
  <c r="CV440" i="1"/>
  <c r="CW440" i="1"/>
  <c r="FR440" i="1"/>
  <c r="GL440" i="1"/>
  <c r="GN440" i="1"/>
  <c r="GO440" i="1"/>
  <c r="GV440" i="1"/>
  <c r="HC440" i="1" s="1"/>
  <c r="GX440" i="1" s="1"/>
  <c r="D441" i="1"/>
  <c r="I441" i="1"/>
  <c r="K441" i="1"/>
  <c r="T441" i="1"/>
  <c r="AC441" i="1"/>
  <c r="AE441" i="1"/>
  <c r="AF441" i="1"/>
  <c r="AG441" i="1"/>
  <c r="AH441" i="1"/>
  <c r="CV441" i="1" s="1"/>
  <c r="U441" i="1" s="1"/>
  <c r="AI441" i="1"/>
  <c r="CW441" i="1" s="1"/>
  <c r="AJ441" i="1"/>
  <c r="CX441" i="1" s="1"/>
  <c r="W441" i="1" s="1"/>
  <c r="CQ441" i="1"/>
  <c r="CR441" i="1"/>
  <c r="Q441" i="1" s="1"/>
  <c r="CS441" i="1"/>
  <c r="CU441" i="1"/>
  <c r="FR441" i="1"/>
  <c r="GL441" i="1"/>
  <c r="GN441" i="1"/>
  <c r="GO441" i="1"/>
  <c r="GV441" i="1"/>
  <c r="HC441" i="1" s="1"/>
  <c r="GX441" i="1"/>
  <c r="D442" i="1"/>
  <c r="I442" i="1"/>
  <c r="K442" i="1"/>
  <c r="AC442" i="1"/>
  <c r="AE442" i="1"/>
  <c r="AF442" i="1"/>
  <c r="CT442" i="1" s="1"/>
  <c r="AG442" i="1"/>
  <c r="CU442" i="1" s="1"/>
  <c r="AH442" i="1"/>
  <c r="CV442" i="1" s="1"/>
  <c r="U442" i="1" s="1"/>
  <c r="AI442" i="1"/>
  <c r="CW442" i="1" s="1"/>
  <c r="V442" i="1" s="1"/>
  <c r="AJ442" i="1"/>
  <c r="CX442" i="1" s="1"/>
  <c r="W442" i="1" s="1"/>
  <c r="FR442" i="1"/>
  <c r="GL442" i="1"/>
  <c r="GN442" i="1"/>
  <c r="GO442" i="1"/>
  <c r="GV442" i="1"/>
  <c r="HC442" i="1" s="1"/>
  <c r="D444" i="1"/>
  <c r="V444" i="1"/>
  <c r="AC444" i="1"/>
  <c r="AE444" i="1"/>
  <c r="AF444" i="1"/>
  <c r="AG444" i="1"/>
  <c r="CU444" i="1" s="1"/>
  <c r="T444" i="1" s="1"/>
  <c r="AH444" i="1"/>
  <c r="CV444" i="1" s="1"/>
  <c r="U444" i="1" s="1"/>
  <c r="AI444" i="1"/>
  <c r="CW444" i="1" s="1"/>
  <c r="AJ444" i="1"/>
  <c r="CS444" i="1"/>
  <c r="CX444" i="1"/>
  <c r="W444" i="1" s="1"/>
  <c r="FR444" i="1"/>
  <c r="GL444" i="1"/>
  <c r="GN444" i="1"/>
  <c r="GO444" i="1"/>
  <c r="GV444" i="1"/>
  <c r="HC444" i="1" s="1"/>
  <c r="GX444" i="1" s="1"/>
  <c r="D445" i="1"/>
  <c r="I445" i="1"/>
  <c r="W445" i="1" s="1"/>
  <c r="K445" i="1"/>
  <c r="AC445" i="1"/>
  <c r="AE445" i="1"/>
  <c r="CR445" i="1" s="1"/>
  <c r="Q445" i="1" s="1"/>
  <c r="AF445" i="1"/>
  <c r="CT445" i="1" s="1"/>
  <c r="S445" i="1" s="1"/>
  <c r="AG445" i="1"/>
  <c r="AH445" i="1"/>
  <c r="AI445" i="1"/>
  <c r="AJ445" i="1"/>
  <c r="CX445" i="1" s="1"/>
  <c r="CQ445" i="1"/>
  <c r="P445" i="1" s="1"/>
  <c r="CU445" i="1"/>
  <c r="CV445" i="1"/>
  <c r="CW445" i="1"/>
  <c r="FR445" i="1"/>
  <c r="GL445" i="1"/>
  <c r="GN445" i="1"/>
  <c r="GO445" i="1"/>
  <c r="GV445" i="1"/>
  <c r="HC445" i="1"/>
  <c r="GX445" i="1" s="1"/>
  <c r="D446" i="1"/>
  <c r="AC446" i="1"/>
  <c r="CQ446" i="1" s="1"/>
  <c r="P446" i="1" s="1"/>
  <c r="AE446" i="1"/>
  <c r="AF446" i="1"/>
  <c r="AG446" i="1"/>
  <c r="CU446" i="1" s="1"/>
  <c r="T446" i="1" s="1"/>
  <c r="AH446" i="1"/>
  <c r="CV446" i="1" s="1"/>
  <c r="U446" i="1" s="1"/>
  <c r="AI446" i="1"/>
  <c r="CW446" i="1" s="1"/>
  <c r="V446" i="1" s="1"/>
  <c r="AJ446" i="1"/>
  <c r="CX446" i="1" s="1"/>
  <c r="W446" i="1" s="1"/>
  <c r="FR446" i="1"/>
  <c r="GL446" i="1"/>
  <c r="GN446" i="1"/>
  <c r="GO446" i="1"/>
  <c r="GV446" i="1"/>
  <c r="HC446" i="1" s="1"/>
  <c r="GX446" i="1" s="1"/>
  <c r="D447" i="1"/>
  <c r="U447" i="1"/>
  <c r="W447" i="1"/>
  <c r="AC447" i="1"/>
  <c r="CQ447" i="1" s="1"/>
  <c r="P447" i="1" s="1"/>
  <c r="AE447" i="1"/>
  <c r="AF447" i="1"/>
  <c r="AG447" i="1"/>
  <c r="CU447" i="1" s="1"/>
  <c r="T447" i="1" s="1"/>
  <c r="AH447" i="1"/>
  <c r="CV447" i="1" s="1"/>
  <c r="AI447" i="1"/>
  <c r="AJ447" i="1"/>
  <c r="CS447" i="1"/>
  <c r="CW447" i="1"/>
  <c r="V447" i="1" s="1"/>
  <c r="CX447" i="1"/>
  <c r="FR447" i="1"/>
  <c r="GL447" i="1"/>
  <c r="GN447" i="1"/>
  <c r="GO447" i="1"/>
  <c r="GV447" i="1"/>
  <c r="HC447" i="1" s="1"/>
  <c r="GX447" i="1" s="1"/>
  <c r="D448" i="1"/>
  <c r="I448" i="1"/>
  <c r="K448" i="1"/>
  <c r="Q448" i="1"/>
  <c r="AC448" i="1"/>
  <c r="AE448" i="1"/>
  <c r="AF448" i="1"/>
  <c r="AG448" i="1"/>
  <c r="CU448" i="1" s="1"/>
  <c r="T448" i="1" s="1"/>
  <c r="AH448" i="1"/>
  <c r="AI448" i="1"/>
  <c r="CW448" i="1" s="1"/>
  <c r="V448" i="1" s="1"/>
  <c r="AJ448" i="1"/>
  <c r="CX448" i="1" s="1"/>
  <c r="W448" i="1" s="1"/>
  <c r="CQ448" i="1"/>
  <c r="P448" i="1" s="1"/>
  <c r="CR448" i="1"/>
  <c r="CV448" i="1"/>
  <c r="U448" i="1" s="1"/>
  <c r="FR448" i="1"/>
  <c r="GL448" i="1"/>
  <c r="GN448" i="1"/>
  <c r="GO448" i="1"/>
  <c r="GV448" i="1"/>
  <c r="HC448" i="1" s="1"/>
  <c r="GX448" i="1" s="1"/>
  <c r="D449" i="1"/>
  <c r="I449" i="1"/>
  <c r="K449" i="1"/>
  <c r="S449" i="1"/>
  <c r="AC449" i="1"/>
  <c r="CQ449" i="1" s="1"/>
  <c r="AE449" i="1"/>
  <c r="AD449" i="1" s="1"/>
  <c r="AF449" i="1"/>
  <c r="AG449" i="1"/>
  <c r="AH449" i="1"/>
  <c r="CV449" i="1" s="1"/>
  <c r="U449" i="1" s="1"/>
  <c r="AI449" i="1"/>
  <c r="AJ449" i="1"/>
  <c r="CX449" i="1" s="1"/>
  <c r="W449" i="1" s="1"/>
  <c r="CS449" i="1"/>
  <c r="R449" i="1" s="1"/>
  <c r="GK449" i="1" s="1"/>
  <c r="CT449" i="1"/>
  <c r="CU449" i="1"/>
  <c r="T449" i="1" s="1"/>
  <c r="CW449" i="1"/>
  <c r="FR449" i="1"/>
  <c r="GL449" i="1"/>
  <c r="GN449" i="1"/>
  <c r="GO449" i="1"/>
  <c r="GV449" i="1"/>
  <c r="HC449" i="1" s="1"/>
  <c r="GX449" i="1" s="1"/>
  <c r="B451" i="1"/>
  <c r="B429" i="1" s="1"/>
  <c r="C451" i="1"/>
  <c r="C429" i="1" s="1"/>
  <c r="D451" i="1"/>
  <c r="D429" i="1" s="1"/>
  <c r="F451" i="1"/>
  <c r="F429" i="1" s="1"/>
  <c r="G451" i="1"/>
  <c r="BX451" i="1"/>
  <c r="AO451" i="1" s="1"/>
  <c r="F455" i="1" s="1"/>
  <c r="CK451" i="1"/>
  <c r="CL451" i="1"/>
  <c r="CL429" i="1" s="1"/>
  <c r="CM451" i="1"/>
  <c r="CM429" i="1" s="1"/>
  <c r="D481" i="1"/>
  <c r="E483" i="1"/>
  <c r="Z483" i="1"/>
  <c r="AA483" i="1"/>
  <c r="AM483" i="1"/>
  <c r="AN483" i="1"/>
  <c r="BE483" i="1"/>
  <c r="BF483" i="1"/>
  <c r="BG483" i="1"/>
  <c r="BH483" i="1"/>
  <c r="BI483" i="1"/>
  <c r="BJ483" i="1"/>
  <c r="BK483" i="1"/>
  <c r="BL483" i="1"/>
  <c r="BM483" i="1"/>
  <c r="BN483" i="1"/>
  <c r="BO483" i="1"/>
  <c r="BP483" i="1"/>
  <c r="BQ483" i="1"/>
  <c r="BR483" i="1"/>
  <c r="BS483" i="1"/>
  <c r="BT483" i="1"/>
  <c r="BU483" i="1"/>
  <c r="BV483" i="1"/>
  <c r="BW483" i="1"/>
  <c r="CN483" i="1"/>
  <c r="CO483" i="1"/>
  <c r="CP483" i="1"/>
  <c r="CQ483" i="1"/>
  <c r="CR483" i="1"/>
  <c r="CS483" i="1"/>
  <c r="CT483" i="1"/>
  <c r="CU483" i="1"/>
  <c r="CV483" i="1"/>
  <c r="CW483" i="1"/>
  <c r="CX483" i="1"/>
  <c r="CY483" i="1"/>
  <c r="CZ483" i="1"/>
  <c r="DA483" i="1"/>
  <c r="DB483" i="1"/>
  <c r="DC483" i="1"/>
  <c r="DD483" i="1"/>
  <c r="DE483" i="1"/>
  <c r="DF483" i="1"/>
  <c r="DG483" i="1"/>
  <c r="DH483" i="1"/>
  <c r="DI483" i="1"/>
  <c r="DJ483" i="1"/>
  <c r="DK483" i="1"/>
  <c r="DL483" i="1"/>
  <c r="DM483" i="1"/>
  <c r="DN483" i="1"/>
  <c r="DO483" i="1"/>
  <c r="DP483" i="1"/>
  <c r="DQ483" i="1"/>
  <c r="DR483" i="1"/>
  <c r="DS483" i="1"/>
  <c r="DT483" i="1"/>
  <c r="DU483" i="1"/>
  <c r="DV483" i="1"/>
  <c r="DW483" i="1"/>
  <c r="DX483" i="1"/>
  <c r="DY483" i="1"/>
  <c r="DZ483" i="1"/>
  <c r="EA483" i="1"/>
  <c r="EB483" i="1"/>
  <c r="EC483" i="1"/>
  <c r="ED483" i="1"/>
  <c r="EE483" i="1"/>
  <c r="EF483" i="1"/>
  <c r="EG483" i="1"/>
  <c r="EH483" i="1"/>
  <c r="EI483" i="1"/>
  <c r="EJ483" i="1"/>
  <c r="EK483" i="1"/>
  <c r="EL483" i="1"/>
  <c r="EM483" i="1"/>
  <c r="EN483" i="1"/>
  <c r="EO483" i="1"/>
  <c r="EP483" i="1"/>
  <c r="EQ483" i="1"/>
  <c r="ER483" i="1"/>
  <c r="ES483" i="1"/>
  <c r="ET483" i="1"/>
  <c r="EU483" i="1"/>
  <c r="EV483" i="1"/>
  <c r="EW483" i="1"/>
  <c r="EX483" i="1"/>
  <c r="EY483" i="1"/>
  <c r="EZ483" i="1"/>
  <c r="FA483" i="1"/>
  <c r="FB483" i="1"/>
  <c r="FC483" i="1"/>
  <c r="FD483" i="1"/>
  <c r="FE483" i="1"/>
  <c r="FF483" i="1"/>
  <c r="FG483" i="1"/>
  <c r="FH483" i="1"/>
  <c r="FI483" i="1"/>
  <c r="FJ483" i="1"/>
  <c r="FK483" i="1"/>
  <c r="FL483" i="1"/>
  <c r="FM483" i="1"/>
  <c r="FN483" i="1"/>
  <c r="FO483" i="1"/>
  <c r="FP483" i="1"/>
  <c r="FQ483" i="1"/>
  <c r="FR483" i="1"/>
  <c r="FS483" i="1"/>
  <c r="FT483" i="1"/>
  <c r="FU483" i="1"/>
  <c r="FV483" i="1"/>
  <c r="FW483" i="1"/>
  <c r="FX483" i="1"/>
  <c r="FY483" i="1"/>
  <c r="FZ483" i="1"/>
  <c r="GA483" i="1"/>
  <c r="GB483" i="1"/>
  <c r="GC483" i="1"/>
  <c r="GD483" i="1"/>
  <c r="GE483" i="1"/>
  <c r="GF483" i="1"/>
  <c r="GG483" i="1"/>
  <c r="GH483" i="1"/>
  <c r="GI483" i="1"/>
  <c r="GJ483" i="1"/>
  <c r="GK483" i="1"/>
  <c r="GL483" i="1"/>
  <c r="GM483" i="1"/>
  <c r="GN483" i="1"/>
  <c r="GO483" i="1"/>
  <c r="GP483" i="1"/>
  <c r="GQ483" i="1"/>
  <c r="GR483" i="1"/>
  <c r="GS483" i="1"/>
  <c r="GT483" i="1"/>
  <c r="GU483" i="1"/>
  <c r="GV483" i="1"/>
  <c r="GW483" i="1"/>
  <c r="GX483" i="1"/>
  <c r="D485" i="1"/>
  <c r="I485" i="1"/>
  <c r="K485" i="1"/>
  <c r="Q485" i="1"/>
  <c r="AC485" i="1"/>
  <c r="CQ485" i="1" s="1"/>
  <c r="P485" i="1" s="1"/>
  <c r="AE485" i="1"/>
  <c r="AD485" i="1" s="1"/>
  <c r="AF485" i="1"/>
  <c r="CT485" i="1" s="1"/>
  <c r="S485" i="1" s="1"/>
  <c r="AG485" i="1"/>
  <c r="CU485" i="1" s="1"/>
  <c r="T485" i="1" s="1"/>
  <c r="AH485" i="1"/>
  <c r="CV485" i="1" s="1"/>
  <c r="U485" i="1" s="1"/>
  <c r="AI485" i="1"/>
  <c r="AJ485" i="1"/>
  <c r="CX485" i="1" s="1"/>
  <c r="W485" i="1" s="1"/>
  <c r="CR485" i="1"/>
  <c r="CS485" i="1"/>
  <c r="R485" i="1" s="1"/>
  <c r="GK485" i="1" s="1"/>
  <c r="CW485" i="1"/>
  <c r="V485" i="1" s="1"/>
  <c r="FR485" i="1"/>
  <c r="GL485" i="1"/>
  <c r="GN485" i="1"/>
  <c r="GO485" i="1"/>
  <c r="GV485" i="1"/>
  <c r="HC485" i="1"/>
  <c r="GX485" i="1" s="1"/>
  <c r="D486" i="1"/>
  <c r="I486" i="1"/>
  <c r="K486" i="1"/>
  <c r="AC486" i="1"/>
  <c r="CQ486" i="1" s="1"/>
  <c r="AE486" i="1"/>
  <c r="AF486" i="1"/>
  <c r="AG486" i="1"/>
  <c r="CU486" i="1" s="1"/>
  <c r="AH486" i="1"/>
  <c r="CV486" i="1" s="1"/>
  <c r="U486" i="1" s="1"/>
  <c r="AI486" i="1"/>
  <c r="CW486" i="1" s="1"/>
  <c r="AJ486" i="1"/>
  <c r="CX486" i="1"/>
  <c r="FR486" i="1"/>
  <c r="BY490" i="1" s="1"/>
  <c r="CI490" i="1" s="1"/>
  <c r="GL486" i="1"/>
  <c r="BZ490" i="1" s="1"/>
  <c r="GN486" i="1"/>
  <c r="CB490" i="1" s="1"/>
  <c r="CB483" i="1" s="1"/>
  <c r="GO486" i="1"/>
  <c r="GV486" i="1"/>
  <c r="HC486" i="1"/>
  <c r="D487" i="1"/>
  <c r="I487" i="1"/>
  <c r="K487" i="1"/>
  <c r="AC487" i="1"/>
  <c r="AE487" i="1"/>
  <c r="AD487" i="1" s="1"/>
  <c r="AF487" i="1"/>
  <c r="CT487" i="1" s="1"/>
  <c r="S487" i="1" s="1"/>
  <c r="AG487" i="1"/>
  <c r="CU487" i="1" s="1"/>
  <c r="AH487" i="1"/>
  <c r="CV487" i="1" s="1"/>
  <c r="AI487" i="1"/>
  <c r="CW487" i="1" s="1"/>
  <c r="AJ487" i="1"/>
  <c r="CX487" i="1" s="1"/>
  <c r="CQ487" i="1"/>
  <c r="FR487" i="1"/>
  <c r="GL487" i="1"/>
  <c r="GN487" i="1"/>
  <c r="GO487" i="1"/>
  <c r="GV487" i="1"/>
  <c r="HC487" i="1" s="1"/>
  <c r="GX487" i="1" s="1"/>
  <c r="D488" i="1"/>
  <c r="I488" i="1"/>
  <c r="K488" i="1"/>
  <c r="AC488" i="1"/>
  <c r="CQ488" i="1" s="1"/>
  <c r="P488" i="1" s="1"/>
  <c r="AE488" i="1"/>
  <c r="CR488" i="1" s="1"/>
  <c r="Q488" i="1" s="1"/>
  <c r="AF488" i="1"/>
  <c r="AG488" i="1"/>
  <c r="CU488" i="1" s="1"/>
  <c r="T488" i="1" s="1"/>
  <c r="AH488" i="1"/>
  <c r="CV488" i="1" s="1"/>
  <c r="U488" i="1" s="1"/>
  <c r="AI488" i="1"/>
  <c r="CW488" i="1" s="1"/>
  <c r="V488" i="1" s="1"/>
  <c r="AJ488" i="1"/>
  <c r="CT488" i="1"/>
  <c r="S488" i="1" s="1"/>
  <c r="CX488" i="1"/>
  <c r="W488" i="1" s="1"/>
  <c r="FR488" i="1"/>
  <c r="GL488" i="1"/>
  <c r="GN488" i="1"/>
  <c r="GO488" i="1"/>
  <c r="GV488" i="1"/>
  <c r="HC488" i="1" s="1"/>
  <c r="GX488" i="1" s="1"/>
  <c r="B490" i="1"/>
  <c r="B483" i="1" s="1"/>
  <c r="C490" i="1"/>
  <c r="C483" i="1" s="1"/>
  <c r="D490" i="1"/>
  <c r="D483" i="1" s="1"/>
  <c r="F490" i="1"/>
  <c r="F483" i="1" s="1"/>
  <c r="G490" i="1"/>
  <c r="AO490" i="1"/>
  <c r="F494" i="1" s="1"/>
  <c r="BB490" i="1"/>
  <c r="BD490" i="1"/>
  <c r="F515" i="1" s="1"/>
  <c r="BX490" i="1"/>
  <c r="BX483" i="1" s="1"/>
  <c r="CC490" i="1"/>
  <c r="CK490" i="1"/>
  <c r="CK483" i="1" s="1"/>
  <c r="CL490" i="1"/>
  <c r="BC490" i="1" s="1"/>
  <c r="F506" i="1" s="1"/>
  <c r="CM490" i="1"/>
  <c r="CM483" i="1" s="1"/>
  <c r="D520" i="1"/>
  <c r="C522" i="1"/>
  <c r="E522" i="1"/>
  <c r="Z522" i="1"/>
  <c r="AA522" i="1"/>
  <c r="AM522" i="1"/>
  <c r="AN522" i="1"/>
  <c r="AO522" i="1"/>
  <c r="BE522" i="1"/>
  <c r="BF522" i="1"/>
  <c r="BG522" i="1"/>
  <c r="BH522" i="1"/>
  <c r="BI522" i="1"/>
  <c r="BJ522" i="1"/>
  <c r="BK522" i="1"/>
  <c r="BL522" i="1"/>
  <c r="BM522" i="1"/>
  <c r="BN522" i="1"/>
  <c r="BO522" i="1"/>
  <c r="BP522" i="1"/>
  <c r="BQ522" i="1"/>
  <c r="BR522" i="1"/>
  <c r="BS522" i="1"/>
  <c r="BT522" i="1"/>
  <c r="BU522" i="1"/>
  <c r="BV522" i="1"/>
  <c r="BW522" i="1"/>
  <c r="CL522" i="1"/>
  <c r="CN522" i="1"/>
  <c r="CO522" i="1"/>
  <c r="CP522" i="1"/>
  <c r="CQ522" i="1"/>
  <c r="CR522" i="1"/>
  <c r="CS522" i="1"/>
  <c r="CT522" i="1"/>
  <c r="CU522" i="1"/>
  <c r="CV522" i="1"/>
  <c r="CW522" i="1"/>
  <c r="CX522" i="1"/>
  <c r="CY522" i="1"/>
  <c r="CZ522" i="1"/>
  <c r="DA522" i="1"/>
  <c r="DB522" i="1"/>
  <c r="DC522" i="1"/>
  <c r="DD522" i="1"/>
  <c r="DE522" i="1"/>
  <c r="DF522" i="1"/>
  <c r="DG522" i="1"/>
  <c r="DH522" i="1"/>
  <c r="DI522" i="1"/>
  <c r="DJ522" i="1"/>
  <c r="DK522" i="1"/>
  <c r="DL522" i="1"/>
  <c r="DM522" i="1"/>
  <c r="DN522" i="1"/>
  <c r="DO522" i="1"/>
  <c r="DP522" i="1"/>
  <c r="DQ522" i="1"/>
  <c r="DR522" i="1"/>
  <c r="DS522" i="1"/>
  <c r="DT522" i="1"/>
  <c r="DU522" i="1"/>
  <c r="DV522" i="1"/>
  <c r="DW522" i="1"/>
  <c r="DX522" i="1"/>
  <c r="DY522" i="1"/>
  <c r="DZ522" i="1"/>
  <c r="EA522" i="1"/>
  <c r="EB522" i="1"/>
  <c r="EC522" i="1"/>
  <c r="ED522" i="1"/>
  <c r="EE522" i="1"/>
  <c r="EF522" i="1"/>
  <c r="EG522" i="1"/>
  <c r="EH522" i="1"/>
  <c r="EI522" i="1"/>
  <c r="EJ522" i="1"/>
  <c r="EK522" i="1"/>
  <c r="EL522" i="1"/>
  <c r="EM522" i="1"/>
  <c r="EN522" i="1"/>
  <c r="EO522" i="1"/>
  <c r="EP522" i="1"/>
  <c r="EQ522" i="1"/>
  <c r="ER522" i="1"/>
  <c r="ES522" i="1"/>
  <c r="ET522" i="1"/>
  <c r="EU522" i="1"/>
  <c r="EV522" i="1"/>
  <c r="EW522" i="1"/>
  <c r="EX522" i="1"/>
  <c r="EY522" i="1"/>
  <c r="EZ522" i="1"/>
  <c r="FA522" i="1"/>
  <c r="FB522" i="1"/>
  <c r="FC522" i="1"/>
  <c r="FD522" i="1"/>
  <c r="FE522" i="1"/>
  <c r="FF522" i="1"/>
  <c r="FG522" i="1"/>
  <c r="FH522" i="1"/>
  <c r="FI522" i="1"/>
  <c r="FJ522" i="1"/>
  <c r="FK522" i="1"/>
  <c r="FL522" i="1"/>
  <c r="FM522" i="1"/>
  <c r="FN522" i="1"/>
  <c r="FO522" i="1"/>
  <c r="FP522" i="1"/>
  <c r="FQ522" i="1"/>
  <c r="FR522" i="1"/>
  <c r="FS522" i="1"/>
  <c r="FT522" i="1"/>
  <c r="FU522" i="1"/>
  <c r="FV522" i="1"/>
  <c r="FW522" i="1"/>
  <c r="FX522" i="1"/>
  <c r="FY522" i="1"/>
  <c r="FZ522" i="1"/>
  <c r="GA522" i="1"/>
  <c r="GB522" i="1"/>
  <c r="GC522" i="1"/>
  <c r="GD522" i="1"/>
  <c r="GE522" i="1"/>
  <c r="GF522" i="1"/>
  <c r="GG522" i="1"/>
  <c r="GH522" i="1"/>
  <c r="GI522" i="1"/>
  <c r="GJ522" i="1"/>
  <c r="GK522" i="1"/>
  <c r="GL522" i="1"/>
  <c r="GM522" i="1"/>
  <c r="GN522" i="1"/>
  <c r="GO522" i="1"/>
  <c r="GP522" i="1"/>
  <c r="GQ522" i="1"/>
  <c r="GR522" i="1"/>
  <c r="GS522" i="1"/>
  <c r="GT522" i="1"/>
  <c r="GU522" i="1"/>
  <c r="GV522" i="1"/>
  <c r="GW522" i="1"/>
  <c r="GX522" i="1"/>
  <c r="D524" i="1"/>
  <c r="AC524" i="1"/>
  <c r="AD524" i="1"/>
  <c r="AB524" i="1" s="1"/>
  <c r="AE524" i="1"/>
  <c r="AF524" i="1"/>
  <c r="AG524" i="1"/>
  <c r="AH524" i="1"/>
  <c r="AI524" i="1"/>
  <c r="CW524" i="1" s="1"/>
  <c r="V524" i="1" s="1"/>
  <c r="AJ524" i="1"/>
  <c r="CQ524" i="1"/>
  <c r="P524" i="1" s="1"/>
  <c r="CR524" i="1"/>
  <c r="Q524" i="1" s="1"/>
  <c r="CS524" i="1"/>
  <c r="CT524" i="1"/>
  <c r="S524" i="1" s="1"/>
  <c r="CU524" i="1"/>
  <c r="T524" i="1" s="1"/>
  <c r="CV524" i="1"/>
  <c r="U524" i="1" s="1"/>
  <c r="CX524" i="1"/>
  <c r="W524" i="1" s="1"/>
  <c r="FR524" i="1"/>
  <c r="GL524" i="1"/>
  <c r="GN524" i="1"/>
  <c r="GO524" i="1"/>
  <c r="GV524" i="1"/>
  <c r="HC524" i="1" s="1"/>
  <c r="GX524" i="1" s="1"/>
  <c r="D525" i="1"/>
  <c r="V525" i="1"/>
  <c r="AC525" i="1"/>
  <c r="CQ525" i="1" s="1"/>
  <c r="P525" i="1" s="1"/>
  <c r="CP525" i="1" s="1"/>
  <c r="O525" i="1" s="1"/>
  <c r="AE525" i="1"/>
  <c r="CR525" i="1" s="1"/>
  <c r="Q525" i="1" s="1"/>
  <c r="AF525" i="1"/>
  <c r="AG525" i="1"/>
  <c r="AH525" i="1"/>
  <c r="CV525" i="1" s="1"/>
  <c r="U525" i="1" s="1"/>
  <c r="AI525" i="1"/>
  <c r="CW525" i="1" s="1"/>
  <c r="AJ525" i="1"/>
  <c r="CX525" i="1" s="1"/>
  <c r="W525" i="1" s="1"/>
  <c r="CS525" i="1"/>
  <c r="R525" i="1" s="1"/>
  <c r="GK525" i="1" s="1"/>
  <c r="CT525" i="1"/>
  <c r="S525" i="1" s="1"/>
  <c r="CY525" i="1" s="1"/>
  <c r="X525" i="1" s="1"/>
  <c r="CU525" i="1"/>
  <c r="T525" i="1" s="1"/>
  <c r="FR525" i="1"/>
  <c r="GL525" i="1"/>
  <c r="GN525" i="1"/>
  <c r="GO525" i="1"/>
  <c r="GV525" i="1"/>
  <c r="HC525" i="1"/>
  <c r="GX525" i="1" s="1"/>
  <c r="D526" i="1"/>
  <c r="I526" i="1"/>
  <c r="K526" i="1"/>
  <c r="T526" i="1"/>
  <c r="AC526" i="1"/>
  <c r="AE526" i="1"/>
  <c r="AF526" i="1"/>
  <c r="AG526" i="1"/>
  <c r="CU526" i="1" s="1"/>
  <c r="AH526" i="1"/>
  <c r="AI526" i="1"/>
  <c r="CW526" i="1" s="1"/>
  <c r="V526" i="1" s="1"/>
  <c r="AJ526" i="1"/>
  <c r="CX526" i="1" s="1"/>
  <c r="W526" i="1" s="1"/>
  <c r="CQ526" i="1"/>
  <c r="CS526" i="1"/>
  <c r="CV526" i="1"/>
  <c r="U526" i="1" s="1"/>
  <c r="FR526" i="1"/>
  <c r="GL526" i="1"/>
  <c r="GN526" i="1"/>
  <c r="GO526" i="1"/>
  <c r="GV526" i="1"/>
  <c r="HC526" i="1" s="1"/>
  <c r="GX526" i="1"/>
  <c r="D527" i="1"/>
  <c r="I527" i="1"/>
  <c r="K527" i="1"/>
  <c r="AC527" i="1"/>
  <c r="CQ527" i="1" s="1"/>
  <c r="P527" i="1" s="1"/>
  <c r="AE527" i="1"/>
  <c r="AF527" i="1"/>
  <c r="CT527" i="1" s="1"/>
  <c r="S527" i="1" s="1"/>
  <c r="AG527" i="1"/>
  <c r="CU527" i="1" s="1"/>
  <c r="T527" i="1" s="1"/>
  <c r="AH527" i="1"/>
  <c r="CV527" i="1" s="1"/>
  <c r="AI527" i="1"/>
  <c r="CW527" i="1" s="1"/>
  <c r="V527" i="1" s="1"/>
  <c r="AJ527" i="1"/>
  <c r="CX527" i="1" s="1"/>
  <c r="W527" i="1" s="1"/>
  <c r="FR527" i="1"/>
  <c r="GL527" i="1"/>
  <c r="GN527" i="1"/>
  <c r="GO527" i="1"/>
  <c r="GV527" i="1"/>
  <c r="HC527" i="1" s="1"/>
  <c r="D528" i="1"/>
  <c r="AC528" i="1"/>
  <c r="CQ528" i="1" s="1"/>
  <c r="P528" i="1" s="1"/>
  <c r="AE528" i="1"/>
  <c r="AF528" i="1"/>
  <c r="AG528" i="1"/>
  <c r="AH528" i="1"/>
  <c r="CV528" i="1" s="1"/>
  <c r="U528" i="1" s="1"/>
  <c r="AI528" i="1"/>
  <c r="AJ528" i="1"/>
  <c r="CR528" i="1"/>
  <c r="Q528" i="1" s="1"/>
  <c r="CT528" i="1"/>
  <c r="S528" i="1" s="1"/>
  <c r="CU528" i="1"/>
  <c r="T528" i="1" s="1"/>
  <c r="CW528" i="1"/>
  <c r="V528" i="1" s="1"/>
  <c r="CX528" i="1"/>
  <c r="W528" i="1" s="1"/>
  <c r="FR528" i="1"/>
  <c r="GL528" i="1"/>
  <c r="BZ534" i="1" s="1"/>
  <c r="BZ522" i="1" s="1"/>
  <c r="GN528" i="1"/>
  <c r="GO528" i="1"/>
  <c r="GV528" i="1"/>
  <c r="HC528" i="1" s="1"/>
  <c r="GX528" i="1" s="1"/>
  <c r="D529" i="1"/>
  <c r="AC529" i="1"/>
  <c r="CQ529" i="1" s="1"/>
  <c r="P529" i="1" s="1"/>
  <c r="AD529" i="1"/>
  <c r="AE529" i="1"/>
  <c r="AF529" i="1"/>
  <c r="CT529" i="1" s="1"/>
  <c r="S529" i="1" s="1"/>
  <c r="AG529" i="1"/>
  <c r="CU529" i="1" s="1"/>
  <c r="T529" i="1" s="1"/>
  <c r="AH529" i="1"/>
  <c r="CV529" i="1" s="1"/>
  <c r="U529" i="1" s="1"/>
  <c r="AI529" i="1"/>
  <c r="CW529" i="1" s="1"/>
  <c r="V529" i="1" s="1"/>
  <c r="AJ529" i="1"/>
  <c r="CX529" i="1"/>
  <c r="W529" i="1" s="1"/>
  <c r="FR529" i="1"/>
  <c r="GL529" i="1"/>
  <c r="GN529" i="1"/>
  <c r="GO529" i="1"/>
  <c r="GV529" i="1"/>
  <c r="HC529" i="1" s="1"/>
  <c r="GX529" i="1" s="1"/>
  <c r="D530" i="1"/>
  <c r="AC530" i="1"/>
  <c r="AE530" i="1"/>
  <c r="AF530" i="1"/>
  <c r="AG530" i="1"/>
  <c r="AH530" i="1"/>
  <c r="AI530" i="1"/>
  <c r="AJ530" i="1"/>
  <c r="CX530" i="1" s="1"/>
  <c r="W530" i="1" s="1"/>
  <c r="CT530" i="1"/>
  <c r="S530" i="1" s="1"/>
  <c r="CU530" i="1"/>
  <c r="T530" i="1" s="1"/>
  <c r="CV530" i="1"/>
  <c r="U530" i="1" s="1"/>
  <c r="CW530" i="1"/>
  <c r="V530" i="1" s="1"/>
  <c r="FR530" i="1"/>
  <c r="GL530" i="1"/>
  <c r="GN530" i="1"/>
  <c r="GO530" i="1"/>
  <c r="GV530" i="1"/>
  <c r="HC530" i="1" s="1"/>
  <c r="GX530" i="1" s="1"/>
  <c r="D531" i="1"/>
  <c r="AC531" i="1"/>
  <c r="CQ531" i="1" s="1"/>
  <c r="P531" i="1" s="1"/>
  <c r="AE531" i="1"/>
  <c r="AF531" i="1"/>
  <c r="CT531" i="1" s="1"/>
  <c r="S531" i="1" s="1"/>
  <c r="CZ531" i="1" s="1"/>
  <c r="Y531" i="1" s="1"/>
  <c r="AG531" i="1"/>
  <c r="CU531" i="1" s="1"/>
  <c r="T531" i="1" s="1"/>
  <c r="AH531" i="1"/>
  <c r="AI531" i="1"/>
  <c r="CW531" i="1" s="1"/>
  <c r="V531" i="1" s="1"/>
  <c r="AJ531" i="1"/>
  <c r="CX531" i="1" s="1"/>
  <c r="W531" i="1" s="1"/>
  <c r="CV531" i="1"/>
  <c r="U531" i="1" s="1"/>
  <c r="CY531" i="1"/>
  <c r="X531" i="1" s="1"/>
  <c r="FR531" i="1"/>
  <c r="GL531" i="1"/>
  <c r="GN531" i="1"/>
  <c r="GO531" i="1"/>
  <c r="GV531" i="1"/>
  <c r="HC531" i="1" s="1"/>
  <c r="GX531" i="1" s="1"/>
  <c r="D532" i="1"/>
  <c r="U532" i="1"/>
  <c r="AB532" i="1"/>
  <c r="AC532" i="1"/>
  <c r="AD532" i="1"/>
  <c r="AE532" i="1"/>
  <c r="AF532" i="1"/>
  <c r="AG532" i="1"/>
  <c r="CU532" i="1" s="1"/>
  <c r="T532" i="1" s="1"/>
  <c r="AH532" i="1"/>
  <c r="CV532" i="1" s="1"/>
  <c r="AI532" i="1"/>
  <c r="AJ532" i="1"/>
  <c r="CQ532" i="1"/>
  <c r="P532" i="1" s="1"/>
  <c r="CR532" i="1"/>
  <c r="Q532" i="1" s="1"/>
  <c r="CS532" i="1"/>
  <c r="R532" i="1" s="1"/>
  <c r="GK532" i="1" s="1"/>
  <c r="CT532" i="1"/>
  <c r="S532" i="1" s="1"/>
  <c r="CW532" i="1"/>
  <c r="V532" i="1" s="1"/>
  <c r="CX532" i="1"/>
  <c r="W532" i="1" s="1"/>
  <c r="FR532" i="1"/>
  <c r="GL532" i="1"/>
  <c r="GN532" i="1"/>
  <c r="GO532" i="1"/>
  <c r="GV532" i="1"/>
  <c r="HC532" i="1"/>
  <c r="GX532" i="1" s="1"/>
  <c r="B534" i="1"/>
  <c r="B522" i="1" s="1"/>
  <c r="C534" i="1"/>
  <c r="D534" i="1"/>
  <c r="D522" i="1" s="1"/>
  <c r="F534" i="1"/>
  <c r="F522" i="1" s="1"/>
  <c r="G534" i="1"/>
  <c r="BX534" i="1"/>
  <c r="AO534" i="1" s="1"/>
  <c r="F538" i="1" s="1"/>
  <c r="CB534" i="1"/>
  <c r="CK534" i="1"/>
  <c r="BB534" i="1" s="1"/>
  <c r="BB522" i="1" s="1"/>
  <c r="CL534" i="1"/>
  <c r="BC534" i="1" s="1"/>
  <c r="CM534" i="1"/>
  <c r="BD534" i="1" s="1"/>
  <c r="BD522" i="1" s="1"/>
  <c r="F559" i="1"/>
  <c r="B564" i="1"/>
  <c r="B294" i="1" s="1"/>
  <c r="C564" i="1"/>
  <c r="C294" i="1" s="1"/>
  <c r="D564" i="1"/>
  <c r="D294" i="1" s="1"/>
  <c r="F564" i="1"/>
  <c r="F294" i="1" s="1"/>
  <c r="G564" i="1"/>
  <c r="D594" i="1"/>
  <c r="E596" i="1"/>
  <c r="Z596" i="1"/>
  <c r="AA596" i="1"/>
  <c r="AB596" i="1"/>
  <c r="AC596" i="1"/>
  <c r="AD596" i="1"/>
  <c r="AE596" i="1"/>
  <c r="AF596" i="1"/>
  <c r="AG596" i="1"/>
  <c r="AH596" i="1"/>
  <c r="AI596" i="1"/>
  <c r="AJ596" i="1"/>
  <c r="AK596" i="1"/>
  <c r="AL596" i="1"/>
  <c r="AM596" i="1"/>
  <c r="AN596" i="1"/>
  <c r="BE596" i="1"/>
  <c r="BF596" i="1"/>
  <c r="BG596" i="1"/>
  <c r="BH596" i="1"/>
  <c r="BI596" i="1"/>
  <c r="BJ596" i="1"/>
  <c r="BK596" i="1"/>
  <c r="BL596" i="1"/>
  <c r="BM596" i="1"/>
  <c r="BN596" i="1"/>
  <c r="BO596" i="1"/>
  <c r="BP596" i="1"/>
  <c r="BQ596" i="1"/>
  <c r="BR596" i="1"/>
  <c r="BS596" i="1"/>
  <c r="BT596" i="1"/>
  <c r="BU596" i="1"/>
  <c r="BV596" i="1"/>
  <c r="BW596" i="1"/>
  <c r="BX596" i="1"/>
  <c r="BY596" i="1"/>
  <c r="BZ596" i="1"/>
  <c r="CA596" i="1"/>
  <c r="CB596" i="1"/>
  <c r="CC596" i="1"/>
  <c r="CD596" i="1"/>
  <c r="CE596" i="1"/>
  <c r="CF596" i="1"/>
  <c r="CG596" i="1"/>
  <c r="CH596" i="1"/>
  <c r="CI596" i="1"/>
  <c r="CJ596" i="1"/>
  <c r="CK596" i="1"/>
  <c r="CL596" i="1"/>
  <c r="CM596" i="1"/>
  <c r="CN596" i="1"/>
  <c r="CO596" i="1"/>
  <c r="CP596" i="1"/>
  <c r="CQ596" i="1"/>
  <c r="CR596" i="1"/>
  <c r="CS596" i="1"/>
  <c r="CT596" i="1"/>
  <c r="CU596" i="1"/>
  <c r="CV596" i="1"/>
  <c r="CW596" i="1"/>
  <c r="CX596" i="1"/>
  <c r="CY596" i="1"/>
  <c r="CZ596" i="1"/>
  <c r="DA596" i="1"/>
  <c r="DB596" i="1"/>
  <c r="DC596" i="1"/>
  <c r="DD596" i="1"/>
  <c r="DE596" i="1"/>
  <c r="DF596" i="1"/>
  <c r="DG596" i="1"/>
  <c r="DH596" i="1"/>
  <c r="DI596" i="1"/>
  <c r="DJ596" i="1"/>
  <c r="DK596" i="1"/>
  <c r="DL596" i="1"/>
  <c r="DM596" i="1"/>
  <c r="DN596" i="1"/>
  <c r="DO596" i="1"/>
  <c r="DP596" i="1"/>
  <c r="DQ596" i="1"/>
  <c r="DR596" i="1"/>
  <c r="DS596" i="1"/>
  <c r="DT596" i="1"/>
  <c r="DU596" i="1"/>
  <c r="DV596" i="1"/>
  <c r="DW596" i="1"/>
  <c r="DX596" i="1"/>
  <c r="DY596" i="1"/>
  <c r="DZ596" i="1"/>
  <c r="EA596" i="1"/>
  <c r="EB596" i="1"/>
  <c r="EC596" i="1"/>
  <c r="ED596" i="1"/>
  <c r="EE596" i="1"/>
  <c r="EF596" i="1"/>
  <c r="EG596" i="1"/>
  <c r="EH596" i="1"/>
  <c r="EI596" i="1"/>
  <c r="EJ596" i="1"/>
  <c r="EK596" i="1"/>
  <c r="EL596" i="1"/>
  <c r="EM596" i="1"/>
  <c r="EN596" i="1"/>
  <c r="EO596" i="1"/>
  <c r="EP596" i="1"/>
  <c r="EQ596" i="1"/>
  <c r="ER596" i="1"/>
  <c r="ES596" i="1"/>
  <c r="ET596" i="1"/>
  <c r="EU596" i="1"/>
  <c r="EV596" i="1"/>
  <c r="EW596" i="1"/>
  <c r="EX596" i="1"/>
  <c r="EY596" i="1"/>
  <c r="EZ596" i="1"/>
  <c r="FA596" i="1"/>
  <c r="FB596" i="1"/>
  <c r="FC596" i="1"/>
  <c r="FD596" i="1"/>
  <c r="FE596" i="1"/>
  <c r="FF596" i="1"/>
  <c r="FG596" i="1"/>
  <c r="FH596" i="1"/>
  <c r="FI596" i="1"/>
  <c r="FJ596" i="1"/>
  <c r="FK596" i="1"/>
  <c r="FL596" i="1"/>
  <c r="FM596" i="1"/>
  <c r="FN596" i="1"/>
  <c r="FO596" i="1"/>
  <c r="FP596" i="1"/>
  <c r="FQ596" i="1"/>
  <c r="FR596" i="1"/>
  <c r="FS596" i="1"/>
  <c r="FT596" i="1"/>
  <c r="FU596" i="1"/>
  <c r="FV596" i="1"/>
  <c r="FW596" i="1"/>
  <c r="FX596" i="1"/>
  <c r="FY596" i="1"/>
  <c r="FZ596" i="1"/>
  <c r="GA596" i="1"/>
  <c r="GB596" i="1"/>
  <c r="GC596" i="1"/>
  <c r="GD596" i="1"/>
  <c r="GE596" i="1"/>
  <c r="GF596" i="1"/>
  <c r="GG596" i="1"/>
  <c r="GH596" i="1"/>
  <c r="GI596" i="1"/>
  <c r="GJ596" i="1"/>
  <c r="GK596" i="1"/>
  <c r="GL596" i="1"/>
  <c r="GM596" i="1"/>
  <c r="GN596" i="1"/>
  <c r="GO596" i="1"/>
  <c r="GP596" i="1"/>
  <c r="GQ596" i="1"/>
  <c r="GR596" i="1"/>
  <c r="GS596" i="1"/>
  <c r="GT596" i="1"/>
  <c r="GU596" i="1"/>
  <c r="GV596" i="1"/>
  <c r="GW596" i="1"/>
  <c r="GX596" i="1"/>
  <c r="D598" i="1"/>
  <c r="D600" i="1"/>
  <c r="E600" i="1"/>
  <c r="Z600" i="1"/>
  <c r="AA600" i="1"/>
  <c r="AM600" i="1"/>
  <c r="AN600" i="1"/>
  <c r="BE600" i="1"/>
  <c r="BF600" i="1"/>
  <c r="BG600" i="1"/>
  <c r="BH600" i="1"/>
  <c r="BI600" i="1"/>
  <c r="BJ600" i="1"/>
  <c r="BK600" i="1"/>
  <c r="BL600" i="1"/>
  <c r="BM600" i="1"/>
  <c r="BN600" i="1"/>
  <c r="BO600" i="1"/>
  <c r="BP600" i="1"/>
  <c r="BQ600" i="1"/>
  <c r="BR600" i="1"/>
  <c r="BS600" i="1"/>
  <c r="BT600" i="1"/>
  <c r="BU600" i="1"/>
  <c r="BV600" i="1"/>
  <c r="BW600" i="1"/>
  <c r="CN600" i="1"/>
  <c r="CO600" i="1"/>
  <c r="CP600" i="1"/>
  <c r="CQ600" i="1"/>
  <c r="CR600" i="1"/>
  <c r="CS600" i="1"/>
  <c r="CT600" i="1"/>
  <c r="CU600" i="1"/>
  <c r="CV600" i="1"/>
  <c r="CW600" i="1"/>
  <c r="CX600" i="1"/>
  <c r="CY600" i="1"/>
  <c r="CZ600" i="1"/>
  <c r="DA600" i="1"/>
  <c r="DB600" i="1"/>
  <c r="DC600" i="1"/>
  <c r="DD600" i="1"/>
  <c r="DE600" i="1"/>
  <c r="DF600" i="1"/>
  <c r="DG600" i="1"/>
  <c r="DH600" i="1"/>
  <c r="DI600" i="1"/>
  <c r="DJ600" i="1"/>
  <c r="DK600" i="1"/>
  <c r="DL600" i="1"/>
  <c r="DM600" i="1"/>
  <c r="DN600" i="1"/>
  <c r="DO600" i="1"/>
  <c r="DP600" i="1"/>
  <c r="DQ600" i="1"/>
  <c r="DR600" i="1"/>
  <c r="DS600" i="1"/>
  <c r="DT600" i="1"/>
  <c r="DU600" i="1"/>
  <c r="DV600" i="1"/>
  <c r="DW600" i="1"/>
  <c r="DX600" i="1"/>
  <c r="DY600" i="1"/>
  <c r="DZ600" i="1"/>
  <c r="EA600" i="1"/>
  <c r="EB600" i="1"/>
  <c r="EC600" i="1"/>
  <c r="ED600" i="1"/>
  <c r="EE600" i="1"/>
  <c r="EF600" i="1"/>
  <c r="EG600" i="1"/>
  <c r="EH600" i="1"/>
  <c r="EI600" i="1"/>
  <c r="EJ600" i="1"/>
  <c r="EK600" i="1"/>
  <c r="EL600" i="1"/>
  <c r="EM600" i="1"/>
  <c r="EN600" i="1"/>
  <c r="EO600" i="1"/>
  <c r="EP600" i="1"/>
  <c r="EQ600" i="1"/>
  <c r="ER600" i="1"/>
  <c r="ES600" i="1"/>
  <c r="ET600" i="1"/>
  <c r="EU600" i="1"/>
  <c r="EV600" i="1"/>
  <c r="EW600" i="1"/>
  <c r="EX600" i="1"/>
  <c r="EY600" i="1"/>
  <c r="EZ600" i="1"/>
  <c r="FA600" i="1"/>
  <c r="FB600" i="1"/>
  <c r="FC600" i="1"/>
  <c r="FD600" i="1"/>
  <c r="FE600" i="1"/>
  <c r="FF600" i="1"/>
  <c r="FG600" i="1"/>
  <c r="FH600" i="1"/>
  <c r="FI600" i="1"/>
  <c r="FJ600" i="1"/>
  <c r="FK600" i="1"/>
  <c r="FL600" i="1"/>
  <c r="FM600" i="1"/>
  <c r="FN600" i="1"/>
  <c r="FO600" i="1"/>
  <c r="FP600" i="1"/>
  <c r="FQ600" i="1"/>
  <c r="FR600" i="1"/>
  <c r="FS600" i="1"/>
  <c r="FT600" i="1"/>
  <c r="FU600" i="1"/>
  <c r="FV600" i="1"/>
  <c r="FW600" i="1"/>
  <c r="FX600" i="1"/>
  <c r="FY600" i="1"/>
  <c r="FZ600" i="1"/>
  <c r="GA600" i="1"/>
  <c r="GB600" i="1"/>
  <c r="GC600" i="1"/>
  <c r="GD600" i="1"/>
  <c r="GE600" i="1"/>
  <c r="GF600" i="1"/>
  <c r="GG600" i="1"/>
  <c r="GH600" i="1"/>
  <c r="GI600" i="1"/>
  <c r="GJ600" i="1"/>
  <c r="GK600" i="1"/>
  <c r="GL600" i="1"/>
  <c r="GM600" i="1"/>
  <c r="GN600" i="1"/>
  <c r="GO600" i="1"/>
  <c r="GP600" i="1"/>
  <c r="GQ600" i="1"/>
  <c r="GR600" i="1"/>
  <c r="GS600" i="1"/>
  <c r="GT600" i="1"/>
  <c r="GU600" i="1"/>
  <c r="GV600" i="1"/>
  <c r="GW600" i="1"/>
  <c r="GX600" i="1"/>
  <c r="D602" i="1"/>
  <c r="AC602" i="1"/>
  <c r="AE602" i="1"/>
  <c r="AF602" i="1"/>
  <c r="AG602" i="1"/>
  <c r="CU602" i="1" s="1"/>
  <c r="T602" i="1" s="1"/>
  <c r="AH602" i="1"/>
  <c r="CV602" i="1" s="1"/>
  <c r="U602" i="1" s="1"/>
  <c r="AI602" i="1"/>
  <c r="AJ602" i="1"/>
  <c r="CX602" i="1" s="1"/>
  <c r="W602" i="1" s="1"/>
  <c r="CW602" i="1"/>
  <c r="V602" i="1" s="1"/>
  <c r="FR602" i="1"/>
  <c r="GL602" i="1"/>
  <c r="GN602" i="1"/>
  <c r="GO602" i="1"/>
  <c r="GV602" i="1"/>
  <c r="HC602" i="1" s="1"/>
  <c r="GX602" i="1" s="1"/>
  <c r="D603" i="1"/>
  <c r="T603" i="1"/>
  <c r="V603" i="1"/>
  <c r="AC603" i="1"/>
  <c r="AE603" i="1"/>
  <c r="AF603" i="1"/>
  <c r="AG603" i="1"/>
  <c r="CU603" i="1" s="1"/>
  <c r="AH603" i="1"/>
  <c r="CV603" i="1" s="1"/>
  <c r="U603" i="1" s="1"/>
  <c r="AI603" i="1"/>
  <c r="CW603" i="1" s="1"/>
  <c r="AJ603" i="1"/>
  <c r="CX603" i="1" s="1"/>
  <c r="W603" i="1" s="1"/>
  <c r="CQ603" i="1"/>
  <c r="P603" i="1" s="1"/>
  <c r="FR603" i="1"/>
  <c r="GL603" i="1"/>
  <c r="GN603" i="1"/>
  <c r="GO603" i="1"/>
  <c r="GV603" i="1"/>
  <c r="HC603" i="1" s="1"/>
  <c r="GX603" i="1" s="1"/>
  <c r="D604" i="1"/>
  <c r="AC604" i="1"/>
  <c r="AE604" i="1"/>
  <c r="AF604" i="1"/>
  <c r="AG604" i="1"/>
  <c r="AH604" i="1"/>
  <c r="AI604" i="1"/>
  <c r="CW604" i="1" s="1"/>
  <c r="V604" i="1" s="1"/>
  <c r="AJ604" i="1"/>
  <c r="CU604" i="1"/>
  <c r="T604" i="1" s="1"/>
  <c r="CV604" i="1"/>
  <c r="U604" i="1" s="1"/>
  <c r="CX604" i="1"/>
  <c r="W604" i="1" s="1"/>
  <c r="FR604" i="1"/>
  <c r="GL604" i="1"/>
  <c r="GN604" i="1"/>
  <c r="GO604" i="1"/>
  <c r="GV604" i="1"/>
  <c r="HC604" i="1" s="1"/>
  <c r="GX604" i="1" s="1"/>
  <c r="D605" i="1"/>
  <c r="U605" i="1"/>
  <c r="AC605" i="1"/>
  <c r="CQ605" i="1" s="1"/>
  <c r="P605" i="1" s="1"/>
  <c r="AE605" i="1"/>
  <c r="AF605" i="1"/>
  <c r="AG605" i="1"/>
  <c r="CU605" i="1" s="1"/>
  <c r="T605" i="1" s="1"/>
  <c r="AH605" i="1"/>
  <c r="CV605" i="1" s="1"/>
  <c r="AI605" i="1"/>
  <c r="CW605" i="1" s="1"/>
  <c r="V605" i="1" s="1"/>
  <c r="AJ605" i="1"/>
  <c r="CX605" i="1" s="1"/>
  <c r="W605" i="1" s="1"/>
  <c r="FR605" i="1"/>
  <c r="GL605" i="1"/>
  <c r="GN605" i="1"/>
  <c r="GO605" i="1"/>
  <c r="GV605" i="1"/>
  <c r="HC605" i="1" s="1"/>
  <c r="GX605" i="1"/>
  <c r="D606" i="1"/>
  <c r="AC606" i="1"/>
  <c r="CQ606" i="1" s="1"/>
  <c r="P606" i="1" s="1"/>
  <c r="AD606" i="1"/>
  <c r="AB606" i="1" s="1"/>
  <c r="AE606" i="1"/>
  <c r="AF606" i="1"/>
  <c r="CT606" i="1" s="1"/>
  <c r="S606" i="1" s="1"/>
  <c r="AG606" i="1"/>
  <c r="AH606" i="1"/>
  <c r="CV606" i="1" s="1"/>
  <c r="U606" i="1" s="1"/>
  <c r="AI606" i="1"/>
  <c r="CW606" i="1" s="1"/>
  <c r="V606" i="1" s="1"/>
  <c r="AJ606" i="1"/>
  <c r="CX606" i="1" s="1"/>
  <c r="W606" i="1" s="1"/>
  <c r="CU606" i="1"/>
  <c r="T606" i="1" s="1"/>
  <c r="FR606" i="1"/>
  <c r="GL606" i="1"/>
  <c r="GN606" i="1"/>
  <c r="GO606" i="1"/>
  <c r="GV606" i="1"/>
  <c r="HC606" i="1"/>
  <c r="GX606" i="1" s="1"/>
  <c r="B608" i="1"/>
  <c r="B600" i="1" s="1"/>
  <c r="C608" i="1"/>
  <c r="C600" i="1" s="1"/>
  <c r="D608" i="1"/>
  <c r="F608" i="1"/>
  <c r="F600" i="1" s="1"/>
  <c r="G608" i="1"/>
  <c r="BB608" i="1"/>
  <c r="BX608" i="1"/>
  <c r="BX600" i="1" s="1"/>
  <c r="CK608" i="1"/>
  <c r="CK600" i="1" s="1"/>
  <c r="CL608" i="1"/>
  <c r="CL600" i="1" s="1"/>
  <c r="CM608" i="1"/>
  <c r="D638" i="1"/>
  <c r="E640" i="1"/>
  <c r="Z640" i="1"/>
  <c r="AA640" i="1"/>
  <c r="AM640" i="1"/>
  <c r="AN640" i="1"/>
  <c r="BE640" i="1"/>
  <c r="BF640" i="1"/>
  <c r="BG640" i="1"/>
  <c r="BH640" i="1"/>
  <c r="BI640" i="1"/>
  <c r="BJ640" i="1"/>
  <c r="BK640" i="1"/>
  <c r="BL640" i="1"/>
  <c r="BM640" i="1"/>
  <c r="BN640" i="1"/>
  <c r="BO640" i="1"/>
  <c r="BP640" i="1"/>
  <c r="BQ640" i="1"/>
  <c r="BR640" i="1"/>
  <c r="BS640" i="1"/>
  <c r="BT640" i="1"/>
  <c r="BU640" i="1"/>
  <c r="BV640" i="1"/>
  <c r="BW640" i="1"/>
  <c r="CN640" i="1"/>
  <c r="CO640" i="1"/>
  <c r="CP640" i="1"/>
  <c r="CQ640" i="1"/>
  <c r="CR640" i="1"/>
  <c r="CS640" i="1"/>
  <c r="CT640" i="1"/>
  <c r="CU640" i="1"/>
  <c r="CV640" i="1"/>
  <c r="CW640" i="1"/>
  <c r="CX640" i="1"/>
  <c r="CY640" i="1"/>
  <c r="CZ640" i="1"/>
  <c r="DA640" i="1"/>
  <c r="DB640" i="1"/>
  <c r="DC640" i="1"/>
  <c r="DD640" i="1"/>
  <c r="DE640" i="1"/>
  <c r="DF640" i="1"/>
  <c r="DG640" i="1"/>
  <c r="DH640" i="1"/>
  <c r="DI640" i="1"/>
  <c r="DJ640" i="1"/>
  <c r="DK640" i="1"/>
  <c r="DL640" i="1"/>
  <c r="DM640" i="1"/>
  <c r="DN640" i="1"/>
  <c r="DO640" i="1"/>
  <c r="DP640" i="1"/>
  <c r="DQ640" i="1"/>
  <c r="DR640" i="1"/>
  <c r="DS640" i="1"/>
  <c r="DT640" i="1"/>
  <c r="DU640" i="1"/>
  <c r="DV640" i="1"/>
  <c r="DW640" i="1"/>
  <c r="DX640" i="1"/>
  <c r="DY640" i="1"/>
  <c r="DZ640" i="1"/>
  <c r="EA640" i="1"/>
  <c r="EB640" i="1"/>
  <c r="EC640" i="1"/>
  <c r="ED640" i="1"/>
  <c r="EE640" i="1"/>
  <c r="EF640" i="1"/>
  <c r="EG640" i="1"/>
  <c r="EH640" i="1"/>
  <c r="EI640" i="1"/>
  <c r="EJ640" i="1"/>
  <c r="EK640" i="1"/>
  <c r="EL640" i="1"/>
  <c r="EM640" i="1"/>
  <c r="EN640" i="1"/>
  <c r="EO640" i="1"/>
  <c r="EP640" i="1"/>
  <c r="EQ640" i="1"/>
  <c r="ER640" i="1"/>
  <c r="ES640" i="1"/>
  <c r="ET640" i="1"/>
  <c r="EU640" i="1"/>
  <c r="EV640" i="1"/>
  <c r="EW640" i="1"/>
  <c r="EX640" i="1"/>
  <c r="EY640" i="1"/>
  <c r="EZ640" i="1"/>
  <c r="FA640" i="1"/>
  <c r="FB640" i="1"/>
  <c r="FC640" i="1"/>
  <c r="FD640" i="1"/>
  <c r="FE640" i="1"/>
  <c r="FF640" i="1"/>
  <c r="FG640" i="1"/>
  <c r="FH640" i="1"/>
  <c r="FI640" i="1"/>
  <c r="FJ640" i="1"/>
  <c r="FK640" i="1"/>
  <c r="FL640" i="1"/>
  <c r="FM640" i="1"/>
  <c r="FN640" i="1"/>
  <c r="FO640" i="1"/>
  <c r="FP640" i="1"/>
  <c r="FQ640" i="1"/>
  <c r="FR640" i="1"/>
  <c r="FS640" i="1"/>
  <c r="FT640" i="1"/>
  <c r="FU640" i="1"/>
  <c r="FV640" i="1"/>
  <c r="FW640" i="1"/>
  <c r="FX640" i="1"/>
  <c r="FY640" i="1"/>
  <c r="FZ640" i="1"/>
  <c r="GA640" i="1"/>
  <c r="GB640" i="1"/>
  <c r="GC640" i="1"/>
  <c r="GD640" i="1"/>
  <c r="GE640" i="1"/>
  <c r="GF640" i="1"/>
  <c r="GG640" i="1"/>
  <c r="GH640" i="1"/>
  <c r="GI640" i="1"/>
  <c r="GJ640" i="1"/>
  <c r="GK640" i="1"/>
  <c r="GL640" i="1"/>
  <c r="GM640" i="1"/>
  <c r="GN640" i="1"/>
  <c r="GO640" i="1"/>
  <c r="GP640" i="1"/>
  <c r="GQ640" i="1"/>
  <c r="GR640" i="1"/>
  <c r="GS640" i="1"/>
  <c r="GT640" i="1"/>
  <c r="GU640" i="1"/>
  <c r="GV640" i="1"/>
  <c r="GW640" i="1"/>
  <c r="GX640" i="1"/>
  <c r="D642" i="1"/>
  <c r="AC642" i="1"/>
  <c r="AE642" i="1"/>
  <c r="AF642" i="1"/>
  <c r="AG642" i="1"/>
  <c r="CU642" i="1" s="1"/>
  <c r="T642" i="1" s="1"/>
  <c r="AH642" i="1"/>
  <c r="CV642" i="1" s="1"/>
  <c r="U642" i="1" s="1"/>
  <c r="AI642" i="1"/>
  <c r="AJ642" i="1"/>
  <c r="CX642" i="1" s="1"/>
  <c r="W642" i="1" s="1"/>
  <c r="CW642" i="1"/>
  <c r="V642" i="1" s="1"/>
  <c r="FR642" i="1"/>
  <c r="GL642" i="1"/>
  <c r="GN642" i="1"/>
  <c r="GO642" i="1"/>
  <c r="GV642" i="1"/>
  <c r="HC642" i="1" s="1"/>
  <c r="GX642" i="1" s="1"/>
  <c r="D643" i="1"/>
  <c r="I643" i="1"/>
  <c r="K643" i="1"/>
  <c r="AC643" i="1"/>
  <c r="CQ643" i="1" s="1"/>
  <c r="P643" i="1" s="1"/>
  <c r="AE643" i="1"/>
  <c r="AF643" i="1"/>
  <c r="AG643" i="1"/>
  <c r="CU643" i="1" s="1"/>
  <c r="T643" i="1" s="1"/>
  <c r="AH643" i="1"/>
  <c r="CV643" i="1" s="1"/>
  <c r="U643" i="1" s="1"/>
  <c r="AI643" i="1"/>
  <c r="CW643" i="1" s="1"/>
  <c r="V643" i="1" s="1"/>
  <c r="AJ643" i="1"/>
  <c r="CX643" i="1" s="1"/>
  <c r="W643" i="1" s="1"/>
  <c r="FR643" i="1"/>
  <c r="GL643" i="1"/>
  <c r="GN643" i="1"/>
  <c r="GO643" i="1"/>
  <c r="GV643" i="1"/>
  <c r="HC643" i="1"/>
  <c r="D644" i="1"/>
  <c r="AC644" i="1"/>
  <c r="AE644" i="1"/>
  <c r="AF644" i="1"/>
  <c r="AG644" i="1"/>
  <c r="AH644" i="1"/>
  <c r="CV644" i="1" s="1"/>
  <c r="U644" i="1" s="1"/>
  <c r="AI644" i="1"/>
  <c r="CW644" i="1" s="1"/>
  <c r="V644" i="1" s="1"/>
  <c r="AJ644" i="1"/>
  <c r="CX644" i="1" s="1"/>
  <c r="W644" i="1" s="1"/>
  <c r="CU644" i="1"/>
  <c r="T644" i="1" s="1"/>
  <c r="FR644" i="1"/>
  <c r="GL644" i="1"/>
  <c r="GN644" i="1"/>
  <c r="GO644" i="1"/>
  <c r="GV644" i="1"/>
  <c r="HC644" i="1" s="1"/>
  <c r="GX644" i="1" s="1"/>
  <c r="D645" i="1"/>
  <c r="AC645" i="1"/>
  <c r="AE645" i="1"/>
  <c r="AD645" i="1" s="1"/>
  <c r="AF645" i="1"/>
  <c r="CT645" i="1" s="1"/>
  <c r="S645" i="1" s="1"/>
  <c r="CY645" i="1" s="1"/>
  <c r="X645" i="1" s="1"/>
  <c r="AG645" i="1"/>
  <c r="AH645" i="1"/>
  <c r="AI645" i="1"/>
  <c r="CW645" i="1" s="1"/>
  <c r="V645" i="1" s="1"/>
  <c r="AJ645" i="1"/>
  <c r="CU645" i="1"/>
  <c r="T645" i="1" s="1"/>
  <c r="CV645" i="1"/>
  <c r="U645" i="1" s="1"/>
  <c r="CX645" i="1"/>
  <c r="W645" i="1" s="1"/>
  <c r="FR645" i="1"/>
  <c r="GL645" i="1"/>
  <c r="GN645" i="1"/>
  <c r="GO645" i="1"/>
  <c r="GV645" i="1"/>
  <c r="HC645" i="1" s="1"/>
  <c r="GX645" i="1" s="1"/>
  <c r="D646" i="1"/>
  <c r="AC646" i="1"/>
  <c r="CQ646" i="1" s="1"/>
  <c r="P646" i="1" s="1"/>
  <c r="AE646" i="1"/>
  <c r="AF646" i="1"/>
  <c r="AG646" i="1"/>
  <c r="CU646" i="1" s="1"/>
  <c r="T646" i="1" s="1"/>
  <c r="AH646" i="1"/>
  <c r="CV646" i="1" s="1"/>
  <c r="U646" i="1" s="1"/>
  <c r="AI646" i="1"/>
  <c r="CW646" i="1" s="1"/>
  <c r="V646" i="1" s="1"/>
  <c r="AJ646" i="1"/>
  <c r="CX646" i="1" s="1"/>
  <c r="W646" i="1" s="1"/>
  <c r="FR646" i="1"/>
  <c r="GL646" i="1"/>
  <c r="GN646" i="1"/>
  <c r="GO646" i="1"/>
  <c r="GV646" i="1"/>
  <c r="HC646" i="1" s="1"/>
  <c r="GX646" i="1" s="1"/>
  <c r="D647" i="1"/>
  <c r="AB647" i="1"/>
  <c r="AC647" i="1"/>
  <c r="AD647" i="1"/>
  <c r="AE647" i="1"/>
  <c r="AF647" i="1"/>
  <c r="AG647" i="1"/>
  <c r="CU647" i="1" s="1"/>
  <c r="T647" i="1" s="1"/>
  <c r="AH647" i="1"/>
  <c r="AI647" i="1"/>
  <c r="CW647" i="1" s="1"/>
  <c r="V647" i="1" s="1"/>
  <c r="AJ647" i="1"/>
  <c r="CX647" i="1" s="1"/>
  <c r="W647" i="1" s="1"/>
  <c r="CQ647" i="1"/>
  <c r="P647" i="1" s="1"/>
  <c r="CR647" i="1"/>
  <c r="Q647" i="1" s="1"/>
  <c r="CS647" i="1"/>
  <c r="CT647" i="1"/>
  <c r="S647" i="1" s="1"/>
  <c r="CV647" i="1"/>
  <c r="U647" i="1" s="1"/>
  <c r="FR647" i="1"/>
  <c r="GL647" i="1"/>
  <c r="GN647" i="1"/>
  <c r="GO647" i="1"/>
  <c r="GV647" i="1"/>
  <c r="HC647" i="1"/>
  <c r="GX647" i="1" s="1"/>
  <c r="D648" i="1"/>
  <c r="AC648" i="1"/>
  <c r="CQ648" i="1" s="1"/>
  <c r="P648" i="1" s="1"/>
  <c r="AD648" i="1"/>
  <c r="AE648" i="1"/>
  <c r="AF648" i="1"/>
  <c r="AG648" i="1"/>
  <c r="CU648" i="1" s="1"/>
  <c r="T648" i="1" s="1"/>
  <c r="AH648" i="1"/>
  <c r="CV648" i="1" s="1"/>
  <c r="U648" i="1" s="1"/>
  <c r="AI648" i="1"/>
  <c r="AJ648" i="1"/>
  <c r="CW648" i="1"/>
  <c r="V648" i="1" s="1"/>
  <c r="CX648" i="1"/>
  <c r="W648" i="1" s="1"/>
  <c r="FR648" i="1"/>
  <c r="GL648" i="1"/>
  <c r="GN648" i="1"/>
  <c r="GO648" i="1"/>
  <c r="GV648" i="1"/>
  <c r="HC648" i="1" s="1"/>
  <c r="GX648" i="1" s="1"/>
  <c r="D649" i="1"/>
  <c r="AC649" i="1"/>
  <c r="AE649" i="1"/>
  <c r="AF649" i="1"/>
  <c r="AG649" i="1"/>
  <c r="CU649" i="1" s="1"/>
  <c r="T649" i="1" s="1"/>
  <c r="AH649" i="1"/>
  <c r="CV649" i="1" s="1"/>
  <c r="U649" i="1" s="1"/>
  <c r="AI649" i="1"/>
  <c r="CW649" i="1" s="1"/>
  <c r="V649" i="1" s="1"/>
  <c r="AJ649" i="1"/>
  <c r="CX649" i="1" s="1"/>
  <c r="W649" i="1" s="1"/>
  <c r="CQ649" i="1"/>
  <c r="P649" i="1" s="1"/>
  <c r="FR649" i="1"/>
  <c r="GL649" i="1"/>
  <c r="GN649" i="1"/>
  <c r="GO649" i="1"/>
  <c r="GV649" i="1"/>
  <c r="HC649" i="1" s="1"/>
  <c r="GX649" i="1" s="1"/>
  <c r="D650" i="1"/>
  <c r="AC650" i="1"/>
  <c r="CQ650" i="1" s="1"/>
  <c r="P650" i="1" s="1"/>
  <c r="AD650" i="1"/>
  <c r="AE650" i="1"/>
  <c r="AF650" i="1"/>
  <c r="AG650" i="1"/>
  <c r="AH650" i="1"/>
  <c r="AI650" i="1"/>
  <c r="CW650" i="1" s="1"/>
  <c r="V650" i="1" s="1"/>
  <c r="AJ650" i="1"/>
  <c r="CR650" i="1"/>
  <c r="Q650" i="1" s="1"/>
  <c r="CS650" i="1"/>
  <c r="R650" i="1" s="1"/>
  <c r="GK650" i="1" s="1"/>
  <c r="CT650" i="1"/>
  <c r="S650" i="1" s="1"/>
  <c r="CZ650" i="1" s="1"/>
  <c r="Y650" i="1" s="1"/>
  <c r="CU650" i="1"/>
  <c r="T650" i="1" s="1"/>
  <c r="CV650" i="1"/>
  <c r="U650" i="1" s="1"/>
  <c r="CX650" i="1"/>
  <c r="W650" i="1" s="1"/>
  <c r="FR650" i="1"/>
  <c r="GL650" i="1"/>
  <c r="GN650" i="1"/>
  <c r="GO650" i="1"/>
  <c r="GV650" i="1"/>
  <c r="HC650" i="1"/>
  <c r="GX650" i="1" s="1"/>
  <c r="D651" i="1"/>
  <c r="AC651" i="1"/>
  <c r="CQ651" i="1" s="1"/>
  <c r="P651" i="1" s="1"/>
  <c r="AE651" i="1"/>
  <c r="AF651" i="1"/>
  <c r="AG651" i="1"/>
  <c r="CU651" i="1" s="1"/>
  <c r="T651" i="1" s="1"/>
  <c r="AH651" i="1"/>
  <c r="CV651" i="1" s="1"/>
  <c r="U651" i="1" s="1"/>
  <c r="AI651" i="1"/>
  <c r="CW651" i="1" s="1"/>
  <c r="V651" i="1" s="1"/>
  <c r="AJ651" i="1"/>
  <c r="CX651" i="1" s="1"/>
  <c r="W651" i="1" s="1"/>
  <c r="FR651" i="1"/>
  <c r="GL651" i="1"/>
  <c r="GN651" i="1"/>
  <c r="GO651" i="1"/>
  <c r="GV651" i="1"/>
  <c r="HC651" i="1" s="1"/>
  <c r="GX651" i="1" s="1"/>
  <c r="D652" i="1"/>
  <c r="AC652" i="1"/>
  <c r="AE652" i="1"/>
  <c r="AF652" i="1"/>
  <c r="AG652" i="1"/>
  <c r="AH652" i="1"/>
  <c r="CV652" i="1" s="1"/>
  <c r="U652" i="1" s="1"/>
  <c r="AI652" i="1"/>
  <c r="CW652" i="1" s="1"/>
  <c r="V652" i="1" s="1"/>
  <c r="AJ652" i="1"/>
  <c r="CX652" i="1" s="1"/>
  <c r="W652" i="1" s="1"/>
  <c r="CQ652" i="1"/>
  <c r="P652" i="1" s="1"/>
  <c r="CR652" i="1"/>
  <c r="Q652" i="1" s="1"/>
  <c r="CS652" i="1"/>
  <c r="CU652" i="1"/>
  <c r="T652" i="1" s="1"/>
  <c r="FR652" i="1"/>
  <c r="GL652" i="1"/>
  <c r="GN652" i="1"/>
  <c r="GO652" i="1"/>
  <c r="GV652" i="1"/>
  <c r="HC652" i="1"/>
  <c r="GX652" i="1" s="1"/>
  <c r="D653" i="1"/>
  <c r="AC653" i="1"/>
  <c r="CQ653" i="1" s="1"/>
  <c r="P653" i="1" s="1"/>
  <c r="AD653" i="1"/>
  <c r="AE653" i="1"/>
  <c r="AF653" i="1"/>
  <c r="AG653" i="1"/>
  <c r="AH653" i="1"/>
  <c r="CV653" i="1" s="1"/>
  <c r="U653" i="1" s="1"/>
  <c r="AI653" i="1"/>
  <c r="AJ653" i="1"/>
  <c r="CU653" i="1"/>
  <c r="T653" i="1" s="1"/>
  <c r="CW653" i="1"/>
  <c r="V653" i="1" s="1"/>
  <c r="CX653" i="1"/>
  <c r="W653" i="1" s="1"/>
  <c r="FR653" i="1"/>
  <c r="GL653" i="1"/>
  <c r="GN653" i="1"/>
  <c r="GO653" i="1"/>
  <c r="GV653" i="1"/>
  <c r="HC653" i="1"/>
  <c r="GX653" i="1" s="1"/>
  <c r="D654" i="1"/>
  <c r="I654" i="1"/>
  <c r="K654" i="1"/>
  <c r="AC654" i="1"/>
  <c r="CQ654" i="1" s="1"/>
  <c r="P654" i="1" s="1"/>
  <c r="AE654" i="1"/>
  <c r="AF654" i="1"/>
  <c r="AG654" i="1"/>
  <c r="CU654" i="1" s="1"/>
  <c r="AH654" i="1"/>
  <c r="CV654" i="1" s="1"/>
  <c r="AI654" i="1"/>
  <c r="CW654" i="1" s="1"/>
  <c r="AJ654" i="1"/>
  <c r="CX654" i="1" s="1"/>
  <c r="FR654" i="1"/>
  <c r="GL654" i="1"/>
  <c r="GN654" i="1"/>
  <c r="GO654" i="1"/>
  <c r="GV654" i="1"/>
  <c r="HC654" i="1"/>
  <c r="B656" i="1"/>
  <c r="B640" i="1" s="1"/>
  <c r="C656" i="1"/>
  <c r="C640" i="1" s="1"/>
  <c r="D656" i="1"/>
  <c r="D640" i="1" s="1"/>
  <c r="F656" i="1"/>
  <c r="F640" i="1" s="1"/>
  <c r="G656" i="1"/>
  <c r="BX656" i="1"/>
  <c r="AO656" i="1" s="1"/>
  <c r="CK656" i="1"/>
  <c r="CK640" i="1" s="1"/>
  <c r="CL656" i="1"/>
  <c r="CL640" i="1" s="1"/>
  <c r="CM656" i="1"/>
  <c r="CM640" i="1" s="1"/>
  <c r="B686" i="1"/>
  <c r="B596" i="1" s="1"/>
  <c r="C686" i="1"/>
  <c r="C596" i="1" s="1"/>
  <c r="D686" i="1"/>
  <c r="D596" i="1" s="1"/>
  <c r="F686" i="1"/>
  <c r="F596" i="1" s="1"/>
  <c r="G686" i="1"/>
  <c r="B716" i="1"/>
  <c r="B22" i="1" s="1"/>
  <c r="C716" i="1"/>
  <c r="C22" i="1" s="1"/>
  <c r="D716" i="1"/>
  <c r="D22" i="1" s="1"/>
  <c r="F716" i="1"/>
  <c r="F22" i="1" s="1"/>
  <c r="G716" i="1"/>
  <c r="B746" i="1"/>
  <c r="B18" i="1" s="1"/>
  <c r="C746" i="1"/>
  <c r="C18" i="1" s="1"/>
  <c r="D746" i="1"/>
  <c r="D18" i="1" s="1"/>
  <c r="F746" i="1"/>
  <c r="F18" i="1" s="1"/>
  <c r="G746" i="1"/>
  <c r="F12" i="6"/>
  <c r="G12" i="6"/>
  <c r="CY12" i="6"/>
  <c r="J670" i="7" l="1"/>
  <c r="K676" i="8"/>
  <c r="K691" i="7"/>
  <c r="L697" i="8"/>
  <c r="J676" i="7"/>
  <c r="K682" i="8"/>
  <c r="CZ606" i="1"/>
  <c r="Y606" i="1" s="1"/>
  <c r="CY606" i="1"/>
  <c r="X606" i="1" s="1"/>
  <c r="K653" i="7"/>
  <c r="L659" i="8"/>
  <c r="AD603" i="1"/>
  <c r="AB603" i="1" s="1"/>
  <c r="U655" i="7"/>
  <c r="U661" i="8"/>
  <c r="CR603" i="1"/>
  <c r="Q603" i="1" s="1"/>
  <c r="CR257" i="1"/>
  <c r="CS257" i="1"/>
  <c r="AD257" i="1"/>
  <c r="AB257" i="1" s="1"/>
  <c r="S547" i="7"/>
  <c r="Q547" i="7"/>
  <c r="S553" i="8"/>
  <c r="Q553" i="8"/>
  <c r="CT440" i="1"/>
  <c r="S440" i="1" s="1"/>
  <c r="K537" i="7"/>
  <c r="L543" i="8"/>
  <c r="J446" i="7"/>
  <c r="K452" i="8"/>
  <c r="G18" i="1"/>
  <c r="A781" i="8"/>
  <c r="A775" i="7"/>
  <c r="L756" i="8"/>
  <c r="K750" i="7"/>
  <c r="K666" i="7"/>
  <c r="L672" i="8"/>
  <c r="CB608" i="1"/>
  <c r="AS608" i="1" s="1"/>
  <c r="AH490" i="1"/>
  <c r="K603" i="7"/>
  <c r="L609" i="8"/>
  <c r="CP485" i="1"/>
  <c r="O485" i="1" s="1"/>
  <c r="K590" i="7"/>
  <c r="L596" i="8"/>
  <c r="K561" i="7"/>
  <c r="L567" i="8"/>
  <c r="CJ451" i="1"/>
  <c r="CL351" i="1"/>
  <c r="CS246" i="1"/>
  <c r="R246" i="1" s="1"/>
  <c r="GK246" i="1" s="1"/>
  <c r="CR246" i="1"/>
  <c r="Q246" i="1" s="1"/>
  <c r="CP246" i="1" s="1"/>
  <c r="O246" i="1" s="1"/>
  <c r="BD608" i="1"/>
  <c r="CM600" i="1"/>
  <c r="K623" i="7"/>
  <c r="L629" i="8"/>
  <c r="U632" i="7"/>
  <c r="U638" i="8"/>
  <c r="CR530" i="1"/>
  <c r="Q530" i="1" s="1"/>
  <c r="AD530" i="1"/>
  <c r="K513" i="7"/>
  <c r="L519" i="8"/>
  <c r="CZ308" i="1"/>
  <c r="Y308" i="1" s="1"/>
  <c r="J418" i="7"/>
  <c r="K424" i="8"/>
  <c r="CY308" i="1"/>
  <c r="X308" i="1" s="1"/>
  <c r="Q752" i="8"/>
  <c r="Q746" i="7"/>
  <c r="S746" i="7"/>
  <c r="S752" i="8"/>
  <c r="CT652" i="1"/>
  <c r="S652" i="1" s="1"/>
  <c r="U701" i="7"/>
  <c r="U707" i="8"/>
  <c r="CR644" i="1"/>
  <c r="Q644" i="1" s="1"/>
  <c r="CP644" i="1" s="1"/>
  <c r="O644" i="1" s="1"/>
  <c r="CS644" i="1"/>
  <c r="AD644" i="1"/>
  <c r="AB644" i="1" s="1"/>
  <c r="BB600" i="1"/>
  <c r="F621" i="1"/>
  <c r="K569" i="7"/>
  <c r="L575" i="8"/>
  <c r="J465" i="7"/>
  <c r="K471" i="8"/>
  <c r="R308" i="1"/>
  <c r="GK308" i="1" s="1"/>
  <c r="V416" i="7"/>
  <c r="V422" i="8"/>
  <c r="L413" i="8"/>
  <c r="K407" i="7"/>
  <c r="AB445" i="1"/>
  <c r="K400" i="7"/>
  <c r="L406" i="8"/>
  <c r="G600" i="1"/>
  <c r="A683" i="7"/>
  <c r="A689" i="8"/>
  <c r="AI608" i="1"/>
  <c r="CS603" i="1"/>
  <c r="J626" i="7"/>
  <c r="K632" i="8"/>
  <c r="CZ524" i="1"/>
  <c r="Y524" i="1" s="1"/>
  <c r="J611" i="7"/>
  <c r="K617" i="8"/>
  <c r="BB451" i="1"/>
  <c r="CK429" i="1"/>
  <c r="Q394" i="1"/>
  <c r="K615" i="7"/>
  <c r="L621" i="8"/>
  <c r="T356" i="1"/>
  <c r="AG351" i="1"/>
  <c r="CQ644" i="1"/>
  <c r="P644" i="1" s="1"/>
  <c r="K756" i="7"/>
  <c r="L762" i="8"/>
  <c r="CT651" i="1"/>
  <c r="S651" i="1" s="1"/>
  <c r="Q739" i="7"/>
  <c r="S745" i="8"/>
  <c r="S739" i="7"/>
  <c r="Q745" i="8"/>
  <c r="CP650" i="1"/>
  <c r="O650" i="1" s="1"/>
  <c r="K673" i="7"/>
  <c r="L679" i="8"/>
  <c r="J534" i="7"/>
  <c r="K540" i="8"/>
  <c r="AD395" i="1"/>
  <c r="AB395" i="1" s="1"/>
  <c r="U494" i="7"/>
  <c r="U500" i="8"/>
  <c r="CR395" i="1"/>
  <c r="Q395" i="1" s="1"/>
  <c r="CS395" i="1"/>
  <c r="J419" i="7"/>
  <c r="K425" i="8"/>
  <c r="CP308" i="1"/>
  <c r="O308" i="1" s="1"/>
  <c r="CT304" i="1"/>
  <c r="S304" i="1" s="1"/>
  <c r="S402" i="7"/>
  <c r="Q402" i="7"/>
  <c r="S408" i="8"/>
  <c r="Q408" i="8"/>
  <c r="U758" i="7"/>
  <c r="U764" i="8"/>
  <c r="K702" i="8"/>
  <c r="J696" i="7"/>
  <c r="AD433" i="1"/>
  <c r="AB433" i="1" s="1"/>
  <c r="U521" i="8"/>
  <c r="U515" i="7"/>
  <c r="CR433" i="1"/>
  <c r="Q433" i="1" s="1"/>
  <c r="CS433" i="1"/>
  <c r="J510" i="7"/>
  <c r="K516" i="8"/>
  <c r="Q470" i="7"/>
  <c r="S470" i="7"/>
  <c r="S476" i="8"/>
  <c r="Q476" i="8"/>
  <c r="CT391" i="1"/>
  <c r="S391" i="1" s="1"/>
  <c r="AO356" i="1"/>
  <c r="F360" i="1" s="1"/>
  <c r="CE356" i="1"/>
  <c r="Q424" i="7"/>
  <c r="S424" i="7"/>
  <c r="S430" i="8"/>
  <c r="Q430" i="8"/>
  <c r="CT311" i="1"/>
  <c r="S311" i="1" s="1"/>
  <c r="K414" i="7"/>
  <c r="L420" i="8"/>
  <c r="Q211" i="7"/>
  <c r="S211" i="7"/>
  <c r="S217" i="8"/>
  <c r="Q217" i="8"/>
  <c r="CT141" i="1"/>
  <c r="S141" i="1" s="1"/>
  <c r="J181" i="7"/>
  <c r="K187" i="8"/>
  <c r="K730" i="8"/>
  <c r="J724" i="7"/>
  <c r="J526" i="7"/>
  <c r="K532" i="8"/>
  <c r="K713" i="7"/>
  <c r="L719" i="8"/>
  <c r="CS531" i="1"/>
  <c r="R531" i="1" s="1"/>
  <c r="GK531" i="1" s="1"/>
  <c r="CR531" i="1"/>
  <c r="Q531" i="1" s="1"/>
  <c r="J612" i="7"/>
  <c r="K618" i="8"/>
  <c r="BD483" i="1"/>
  <c r="J518" i="7"/>
  <c r="K524" i="8"/>
  <c r="J447" i="7"/>
  <c r="K453" i="8"/>
  <c r="CP317" i="1"/>
  <c r="O317" i="1" s="1"/>
  <c r="K386" i="7"/>
  <c r="L392" i="8"/>
  <c r="AS534" i="1"/>
  <c r="CB522" i="1"/>
  <c r="BX640" i="1"/>
  <c r="BY608" i="1"/>
  <c r="AP608" i="1" s="1"/>
  <c r="CS530" i="1"/>
  <c r="V555" i="7"/>
  <c r="V561" i="8"/>
  <c r="T394" i="1"/>
  <c r="J473" i="7"/>
  <c r="K479" i="8"/>
  <c r="K422" i="7"/>
  <c r="L428" i="8"/>
  <c r="CY300" i="1"/>
  <c r="X300" i="1" s="1"/>
  <c r="J396" i="7"/>
  <c r="K402" i="8"/>
  <c r="K376" i="7"/>
  <c r="L382" i="8"/>
  <c r="K296" i="7"/>
  <c r="L302" i="8"/>
  <c r="K706" i="7"/>
  <c r="L712" i="8"/>
  <c r="R526" i="1"/>
  <c r="V617" i="7"/>
  <c r="V623" i="8"/>
  <c r="U661" i="7"/>
  <c r="U667" i="8"/>
  <c r="CT642" i="1"/>
  <c r="S642" i="1" s="1"/>
  <c r="Q687" i="7"/>
  <c r="S693" i="8"/>
  <c r="S687" i="7"/>
  <c r="Q693" i="8"/>
  <c r="CI483" i="1"/>
  <c r="AZ490" i="1"/>
  <c r="U584" i="7"/>
  <c r="U590" i="8"/>
  <c r="AD448" i="1"/>
  <c r="CS448" i="1"/>
  <c r="AO397" i="1"/>
  <c r="BX388" i="1"/>
  <c r="G351" i="1"/>
  <c r="A458" i="7"/>
  <c r="A464" i="8"/>
  <c r="CP120" i="1"/>
  <c r="O120" i="1" s="1"/>
  <c r="GM120" i="1" s="1"/>
  <c r="GP120" i="1" s="1"/>
  <c r="J126" i="7"/>
  <c r="K132" i="8"/>
  <c r="E486" i="7"/>
  <c r="F492" i="8"/>
  <c r="C487" i="7"/>
  <c r="D493" i="8"/>
  <c r="AD649" i="1"/>
  <c r="AB649" i="1" s="1"/>
  <c r="U729" i="7"/>
  <c r="U735" i="8"/>
  <c r="CR649" i="1"/>
  <c r="Q649" i="1" s="1"/>
  <c r="CP649" i="1" s="1"/>
  <c r="O649" i="1" s="1"/>
  <c r="CS649" i="1"/>
  <c r="K722" i="8"/>
  <c r="J716" i="7"/>
  <c r="K680" i="7"/>
  <c r="L686" i="8"/>
  <c r="AH608" i="1"/>
  <c r="K659" i="7"/>
  <c r="L665" i="8"/>
  <c r="R647" i="1"/>
  <c r="GK647" i="1" s="1"/>
  <c r="V721" i="8"/>
  <c r="V715" i="7"/>
  <c r="CP652" i="1"/>
  <c r="O652" i="1" s="1"/>
  <c r="J710" i="7"/>
  <c r="K716" i="8"/>
  <c r="Q675" i="7"/>
  <c r="S675" i="7"/>
  <c r="S681" i="8"/>
  <c r="Q681" i="8"/>
  <c r="CT603" i="1"/>
  <c r="S603" i="1" s="1"/>
  <c r="Q655" i="7"/>
  <c r="S661" i="8"/>
  <c r="S655" i="7"/>
  <c r="Q661" i="8"/>
  <c r="F550" i="1"/>
  <c r="BC522" i="1"/>
  <c r="Q625" i="7"/>
  <c r="S625" i="7"/>
  <c r="S631" i="8"/>
  <c r="Q631" i="8"/>
  <c r="G596" i="1"/>
  <c r="A769" i="7"/>
  <c r="A775" i="8"/>
  <c r="CT654" i="1"/>
  <c r="S654" i="1" s="1"/>
  <c r="S758" i="7"/>
  <c r="S764" i="8"/>
  <c r="Q764" i="8"/>
  <c r="Q758" i="7"/>
  <c r="R652" i="1"/>
  <c r="GK652" i="1" s="1"/>
  <c r="V752" i="8"/>
  <c r="V746" i="7"/>
  <c r="L750" i="8"/>
  <c r="K744" i="7"/>
  <c r="K739" i="8"/>
  <c r="J733" i="7"/>
  <c r="U722" i="7"/>
  <c r="U728" i="8"/>
  <c r="CR643" i="1"/>
  <c r="Q643" i="1" s="1"/>
  <c r="CP643" i="1" s="1"/>
  <c r="O643" i="1" s="1"/>
  <c r="U699" i="8"/>
  <c r="U693" i="7"/>
  <c r="CS605" i="1"/>
  <c r="U668" i="7"/>
  <c r="U674" i="8"/>
  <c r="Q632" i="7"/>
  <c r="S632" i="7"/>
  <c r="Q638" i="8"/>
  <c r="S638" i="8"/>
  <c r="T487" i="1"/>
  <c r="P486" i="1"/>
  <c r="V449" i="1"/>
  <c r="P449" i="1"/>
  <c r="U545" i="8"/>
  <c r="U539" i="7"/>
  <c r="AB437" i="1"/>
  <c r="CZ436" i="1"/>
  <c r="Y436" i="1" s="1"/>
  <c r="BY451" i="1"/>
  <c r="GX434" i="1"/>
  <c r="Q515" i="7"/>
  <c r="S521" i="8"/>
  <c r="Q521" i="8"/>
  <c r="S515" i="7"/>
  <c r="CT395" i="1"/>
  <c r="S395" i="1" s="1"/>
  <c r="Q500" i="8"/>
  <c r="Q494" i="7"/>
  <c r="S494" i="7"/>
  <c r="S500" i="8"/>
  <c r="V486" i="7"/>
  <c r="V492" i="8"/>
  <c r="K484" i="7"/>
  <c r="L490" i="8"/>
  <c r="K468" i="7"/>
  <c r="L474" i="8"/>
  <c r="O356" i="1"/>
  <c r="O351" i="1" s="1"/>
  <c r="CM351" i="1"/>
  <c r="J180" i="7"/>
  <c r="K186" i="8"/>
  <c r="AD125" i="1"/>
  <c r="CR125" i="1"/>
  <c r="Q125" i="1" s="1"/>
  <c r="CS125" i="1"/>
  <c r="R125" i="1" s="1"/>
  <c r="GK125" i="1" s="1"/>
  <c r="CB169" i="1"/>
  <c r="U631" i="8"/>
  <c r="U625" i="7"/>
  <c r="BB564" i="1"/>
  <c r="C598" i="7"/>
  <c r="E597" i="7"/>
  <c r="F603" i="8"/>
  <c r="D604" i="8"/>
  <c r="J587" i="7"/>
  <c r="K593" i="8"/>
  <c r="K575" i="7"/>
  <c r="L581" i="8"/>
  <c r="V445" i="1"/>
  <c r="CT444" i="1"/>
  <c r="S444" i="1" s="1"/>
  <c r="CY444" i="1" s="1"/>
  <c r="X444" i="1" s="1"/>
  <c r="Q565" i="7"/>
  <c r="S565" i="7"/>
  <c r="S571" i="8"/>
  <c r="Q571" i="8"/>
  <c r="V440" i="1"/>
  <c r="AD440" i="1"/>
  <c r="AB440" i="1" s="1"/>
  <c r="U553" i="8"/>
  <c r="U547" i="7"/>
  <c r="J533" i="7"/>
  <c r="K539" i="8"/>
  <c r="K521" i="7"/>
  <c r="L527" i="8"/>
  <c r="J497" i="7"/>
  <c r="K503" i="8"/>
  <c r="W394" i="1"/>
  <c r="CT392" i="1"/>
  <c r="Q478" i="7"/>
  <c r="S478" i="7"/>
  <c r="S484" i="8"/>
  <c r="Q484" i="8"/>
  <c r="U470" i="7"/>
  <c r="U476" i="8"/>
  <c r="Q462" i="7"/>
  <c r="S462" i="7"/>
  <c r="S468" i="8"/>
  <c r="Q468" i="8"/>
  <c r="BB356" i="1"/>
  <c r="U424" i="7"/>
  <c r="U430" i="8"/>
  <c r="CS304" i="1"/>
  <c r="U402" i="7"/>
  <c r="U408" i="8"/>
  <c r="AB256" i="1"/>
  <c r="CR234" i="1"/>
  <c r="Q234" i="1" s="1"/>
  <c r="CP234" i="1" s="1"/>
  <c r="O234" i="1" s="1"/>
  <c r="CS234" i="1"/>
  <c r="R234" i="1" s="1"/>
  <c r="GK234" i="1" s="1"/>
  <c r="K327" i="7"/>
  <c r="L333" i="8"/>
  <c r="K303" i="7"/>
  <c r="L309" i="8"/>
  <c r="K231" i="7"/>
  <c r="L237" i="8"/>
  <c r="U211" i="7"/>
  <c r="U217" i="8"/>
  <c r="CR141" i="1"/>
  <c r="Q141" i="1" s="1"/>
  <c r="CS141" i="1"/>
  <c r="AD141" i="1"/>
  <c r="AB141" i="1" s="1"/>
  <c r="J196" i="7"/>
  <c r="K202" i="8"/>
  <c r="CY137" i="1"/>
  <c r="X137" i="1" s="1"/>
  <c r="J189" i="7"/>
  <c r="K195" i="8"/>
  <c r="CZ137" i="1"/>
  <c r="Y137" i="1" s="1"/>
  <c r="CP137" i="1"/>
  <c r="O137" i="1" s="1"/>
  <c r="K98" i="7"/>
  <c r="L104" i="8"/>
  <c r="K85" i="7"/>
  <c r="L91" i="8"/>
  <c r="CT32" i="1"/>
  <c r="S32" i="1" s="1"/>
  <c r="AF36" i="1" s="1"/>
  <c r="Q35" i="7"/>
  <c r="S35" i="7"/>
  <c r="S41" i="8"/>
  <c r="Q41" i="8"/>
  <c r="U745" i="8"/>
  <c r="U739" i="7"/>
  <c r="K737" i="7"/>
  <c r="L743" i="8"/>
  <c r="GX643" i="1"/>
  <c r="CJ656" i="1" s="1"/>
  <c r="C694" i="7"/>
  <c r="E693" i="7"/>
  <c r="D700" i="8"/>
  <c r="F699" i="8"/>
  <c r="BZ608" i="1"/>
  <c r="G294" i="1"/>
  <c r="A649" i="8"/>
  <c r="A643" i="7"/>
  <c r="AH534" i="1"/>
  <c r="K637" i="7"/>
  <c r="L643" i="8"/>
  <c r="AD528" i="1"/>
  <c r="AB528" i="1" s="1"/>
  <c r="CT526" i="1"/>
  <c r="S526" i="1" s="1"/>
  <c r="Q617" i="7"/>
  <c r="S617" i="7"/>
  <c r="S623" i="8"/>
  <c r="Q623" i="8"/>
  <c r="E584" i="7"/>
  <c r="C585" i="7"/>
  <c r="D591" i="8"/>
  <c r="F590" i="8"/>
  <c r="K582" i="7"/>
  <c r="L588" i="8"/>
  <c r="U445" i="1"/>
  <c r="AD445" i="1"/>
  <c r="AD444" i="1"/>
  <c r="U565" i="7"/>
  <c r="U571" i="8"/>
  <c r="U440" i="1"/>
  <c r="E539" i="7"/>
  <c r="C540" i="7"/>
  <c r="D546" i="8"/>
  <c r="F545" i="8"/>
  <c r="R437" i="1"/>
  <c r="GK437" i="1" s="1"/>
  <c r="V531" i="7"/>
  <c r="V537" i="8"/>
  <c r="CT431" i="1"/>
  <c r="S431" i="1" s="1"/>
  <c r="S507" i="7"/>
  <c r="Q507" i="7"/>
  <c r="S513" i="8"/>
  <c r="Q513" i="8"/>
  <c r="A509" i="8"/>
  <c r="A503" i="7"/>
  <c r="V394" i="1"/>
  <c r="U478" i="7"/>
  <c r="U484" i="8"/>
  <c r="AD391" i="1"/>
  <c r="AB391" i="1" s="1"/>
  <c r="BY397" i="1"/>
  <c r="U468" i="8"/>
  <c r="U462" i="7"/>
  <c r="AZ356" i="1"/>
  <c r="CC351" i="1"/>
  <c r="AQ351" i="1"/>
  <c r="BD319" i="1"/>
  <c r="K435" i="7"/>
  <c r="L441" i="8"/>
  <c r="CT306" i="1"/>
  <c r="S306" i="1" s="1"/>
  <c r="CY306" i="1" s="1"/>
  <c r="X306" i="1" s="1"/>
  <c r="Q409" i="7"/>
  <c r="S409" i="7"/>
  <c r="Q415" i="8"/>
  <c r="S415" i="8"/>
  <c r="AD304" i="1"/>
  <c r="AB304" i="1" s="1"/>
  <c r="BB262" i="1"/>
  <c r="U257" i="1"/>
  <c r="Q378" i="7"/>
  <c r="S378" i="7"/>
  <c r="S384" i="8"/>
  <c r="Q384" i="8"/>
  <c r="J358" i="7"/>
  <c r="K364" i="8"/>
  <c r="AD234" i="1"/>
  <c r="AB234" i="1" s="1"/>
  <c r="CZ233" i="1"/>
  <c r="Y233" i="1" s="1"/>
  <c r="CY233" i="1"/>
  <c r="X233" i="1" s="1"/>
  <c r="K279" i="7"/>
  <c r="L285" i="8"/>
  <c r="E233" i="7"/>
  <c r="C234" i="7"/>
  <c r="F239" i="8"/>
  <c r="D240" i="8"/>
  <c r="CT129" i="1"/>
  <c r="S129" i="1" s="1"/>
  <c r="Q155" i="7"/>
  <c r="S155" i="7"/>
  <c r="S161" i="8"/>
  <c r="Q161" i="8"/>
  <c r="BZ72" i="1"/>
  <c r="AQ77" i="1"/>
  <c r="AQ72" i="1" s="1"/>
  <c r="Q28" i="1"/>
  <c r="GX654" i="1"/>
  <c r="C759" i="7"/>
  <c r="F764" i="8"/>
  <c r="D765" i="8"/>
  <c r="E758" i="7"/>
  <c r="K747" i="8"/>
  <c r="J741" i="7"/>
  <c r="J717" i="7"/>
  <c r="K723" i="8"/>
  <c r="CT646" i="1"/>
  <c r="S646" i="1" s="1"/>
  <c r="S714" i="8"/>
  <c r="Q714" i="8"/>
  <c r="Q708" i="7"/>
  <c r="S708" i="7"/>
  <c r="CC656" i="1"/>
  <c r="G522" i="1"/>
  <c r="A640" i="7"/>
  <c r="A646" i="8"/>
  <c r="CP528" i="1"/>
  <c r="O528" i="1" s="1"/>
  <c r="J627" i="7"/>
  <c r="K633" i="8"/>
  <c r="AD526" i="1"/>
  <c r="U617" i="7"/>
  <c r="U623" i="8"/>
  <c r="AJ534" i="1"/>
  <c r="Q610" i="7"/>
  <c r="S616" i="8"/>
  <c r="S610" i="7"/>
  <c r="Q616" i="8"/>
  <c r="R447" i="1"/>
  <c r="GK447" i="1" s="1"/>
  <c r="V577" i="7"/>
  <c r="V583" i="8"/>
  <c r="CT446" i="1"/>
  <c r="S446" i="1" s="1"/>
  <c r="Q571" i="7"/>
  <c r="S571" i="7"/>
  <c r="S577" i="8"/>
  <c r="Q577" i="8"/>
  <c r="T445" i="1"/>
  <c r="E555" i="7"/>
  <c r="F561" i="8"/>
  <c r="D562" i="8"/>
  <c r="C556" i="7"/>
  <c r="T440" i="1"/>
  <c r="E531" i="7"/>
  <c r="C532" i="7"/>
  <c r="D538" i="8"/>
  <c r="F537" i="8"/>
  <c r="K529" i="7"/>
  <c r="L535" i="8"/>
  <c r="P434" i="1"/>
  <c r="J517" i="7"/>
  <c r="K523" i="8"/>
  <c r="CR431" i="1"/>
  <c r="Q431" i="1" s="1"/>
  <c r="U507" i="7"/>
  <c r="U513" i="8"/>
  <c r="K500" i="7"/>
  <c r="L506" i="8"/>
  <c r="E494" i="7"/>
  <c r="F500" i="8"/>
  <c r="D501" i="8"/>
  <c r="C495" i="7"/>
  <c r="U394" i="1"/>
  <c r="AB392" i="1"/>
  <c r="AB390" i="1"/>
  <c r="C445" i="7"/>
  <c r="D451" i="8"/>
  <c r="E444" i="7"/>
  <c r="F450" i="8"/>
  <c r="CC319" i="1"/>
  <c r="U409" i="7"/>
  <c r="U415" i="8"/>
  <c r="J404" i="7"/>
  <c r="K410" i="8"/>
  <c r="S257" i="1"/>
  <c r="AD253" i="1"/>
  <c r="AB253" i="1" s="1"/>
  <c r="U378" i="7"/>
  <c r="U384" i="8"/>
  <c r="AJ262" i="1"/>
  <c r="CR233" i="1"/>
  <c r="Q233" i="1" s="1"/>
  <c r="CS233" i="1"/>
  <c r="R233" i="1" s="1"/>
  <c r="GK233" i="1" s="1"/>
  <c r="AD233" i="1"/>
  <c r="K258" i="7"/>
  <c r="L264" i="8"/>
  <c r="CY148" i="1"/>
  <c r="X148" i="1" s="1"/>
  <c r="CZ148" i="1"/>
  <c r="Y148" i="1" s="1"/>
  <c r="K169" i="7"/>
  <c r="L175" i="8"/>
  <c r="U155" i="7"/>
  <c r="U161" i="8"/>
  <c r="CS129" i="1"/>
  <c r="J134" i="7"/>
  <c r="K140" i="8"/>
  <c r="E107" i="7"/>
  <c r="C108" i="7"/>
  <c r="F113" i="8"/>
  <c r="D114" i="8"/>
  <c r="CT116" i="1"/>
  <c r="S116" i="1" s="1"/>
  <c r="Q100" i="7"/>
  <c r="S106" i="8"/>
  <c r="Q106" i="8"/>
  <c r="S100" i="7"/>
  <c r="J95" i="7"/>
  <c r="K101" i="8"/>
  <c r="Q80" i="7"/>
  <c r="S80" i="7"/>
  <c r="S86" i="8"/>
  <c r="Q86" i="8"/>
  <c r="CT113" i="1"/>
  <c r="S113" i="1" s="1"/>
  <c r="CZ113" i="1" s="1"/>
  <c r="Y113" i="1" s="1"/>
  <c r="J37" i="7"/>
  <c r="K43" i="8"/>
  <c r="P28" i="1"/>
  <c r="CP531" i="1"/>
  <c r="O531" i="1" s="1"/>
  <c r="GM531" i="1" s="1"/>
  <c r="GP531" i="1" s="1"/>
  <c r="CT649" i="1"/>
  <c r="S649" i="1" s="1"/>
  <c r="S729" i="7"/>
  <c r="S735" i="8"/>
  <c r="Q735" i="8"/>
  <c r="Q729" i="7"/>
  <c r="CR646" i="1"/>
  <c r="Q646" i="1" s="1"/>
  <c r="CP646" i="1" s="1"/>
  <c r="O646" i="1" s="1"/>
  <c r="U708" i="7"/>
  <c r="U714" i="8"/>
  <c r="S701" i="7"/>
  <c r="S707" i="8"/>
  <c r="Q707" i="8"/>
  <c r="Q701" i="7"/>
  <c r="CR605" i="1"/>
  <c r="Q605" i="1" s="1"/>
  <c r="J633" i="7"/>
  <c r="K639" i="8"/>
  <c r="AD525" i="1"/>
  <c r="U616" i="8"/>
  <c r="U610" i="7"/>
  <c r="F503" i="1"/>
  <c r="G483" i="1"/>
  <c r="A606" i="7"/>
  <c r="A612" i="8"/>
  <c r="AD488" i="1"/>
  <c r="CR449" i="1"/>
  <c r="Q449" i="1" s="1"/>
  <c r="U571" i="7"/>
  <c r="U577" i="8"/>
  <c r="E515" i="7"/>
  <c r="C516" i="7"/>
  <c r="F521" i="8"/>
  <c r="D522" i="8"/>
  <c r="AD431" i="1"/>
  <c r="T395" i="1"/>
  <c r="T393" i="1"/>
  <c r="CC397" i="1"/>
  <c r="AT397" i="1" s="1"/>
  <c r="CF356" i="1"/>
  <c r="CA351" i="1"/>
  <c r="BB319" i="1"/>
  <c r="BB298" i="1" s="1"/>
  <c r="Q444" i="7"/>
  <c r="S444" i="7"/>
  <c r="S450" i="8"/>
  <c r="Q450" i="8"/>
  <c r="Q431" i="7"/>
  <c r="S431" i="7"/>
  <c r="Q437" i="8"/>
  <c r="S437" i="8"/>
  <c r="W308" i="1"/>
  <c r="AJ319" i="1" s="1"/>
  <c r="AD306" i="1"/>
  <c r="J366" i="7"/>
  <c r="K372" i="8"/>
  <c r="S144" i="1"/>
  <c r="J195" i="7"/>
  <c r="K201" i="8"/>
  <c r="K199" i="7"/>
  <c r="L205" i="8"/>
  <c r="J157" i="7"/>
  <c r="K163" i="8"/>
  <c r="J125" i="7"/>
  <c r="K131" i="8"/>
  <c r="AO72" i="1"/>
  <c r="F81" i="1"/>
  <c r="CR34" i="1"/>
  <c r="Q34" i="1" s="1"/>
  <c r="CS34" i="1"/>
  <c r="R34" i="1" s="1"/>
  <c r="GK34" i="1" s="1"/>
  <c r="AD34" i="1"/>
  <c r="AB34" i="1" s="1"/>
  <c r="W28" i="1"/>
  <c r="CS487" i="1"/>
  <c r="R487" i="1" s="1"/>
  <c r="GK487" i="1" s="1"/>
  <c r="U487" i="1"/>
  <c r="CS445" i="1"/>
  <c r="R445" i="1" s="1"/>
  <c r="GK445" i="1" s="1"/>
  <c r="CS440" i="1"/>
  <c r="CT435" i="1"/>
  <c r="S435" i="1" s="1"/>
  <c r="CY435" i="1" s="1"/>
  <c r="X435" i="1" s="1"/>
  <c r="S523" i="7"/>
  <c r="Q529" i="8"/>
  <c r="Q523" i="7"/>
  <c r="S529" i="8"/>
  <c r="GX394" i="1"/>
  <c r="CT394" i="1"/>
  <c r="S394" i="1" s="1"/>
  <c r="Q486" i="7"/>
  <c r="S486" i="7"/>
  <c r="S492" i="8"/>
  <c r="Q492" i="8"/>
  <c r="K476" i="7"/>
  <c r="L482" i="8"/>
  <c r="CT390" i="1"/>
  <c r="S390" i="1" s="1"/>
  <c r="K450" i="7"/>
  <c r="L456" i="8"/>
  <c r="U444" i="7"/>
  <c r="U450" i="8"/>
  <c r="U431" i="7"/>
  <c r="U437" i="8"/>
  <c r="J411" i="7"/>
  <c r="K417" i="8"/>
  <c r="A389" i="7"/>
  <c r="A395" i="8"/>
  <c r="G231" i="1"/>
  <c r="CS256" i="1"/>
  <c r="R256" i="1" s="1"/>
  <c r="GK256" i="1" s="1"/>
  <c r="CR251" i="1"/>
  <c r="CS251" i="1"/>
  <c r="K362" i="7"/>
  <c r="L368" i="8"/>
  <c r="P144" i="1"/>
  <c r="K223" i="7"/>
  <c r="L229" i="8"/>
  <c r="R138" i="1"/>
  <c r="GK138" i="1" s="1"/>
  <c r="V194" i="7"/>
  <c r="V200" i="8"/>
  <c r="CT126" i="1"/>
  <c r="S126" i="1" s="1"/>
  <c r="Q139" i="7"/>
  <c r="S139" i="7"/>
  <c r="S145" i="8"/>
  <c r="Q145" i="8"/>
  <c r="K78" i="7"/>
  <c r="L84" i="8"/>
  <c r="CR31" i="1"/>
  <c r="Q31" i="1" s="1"/>
  <c r="CP31" i="1" s="1"/>
  <c r="O31" i="1" s="1"/>
  <c r="CS31" i="1"/>
  <c r="R31" i="1" s="1"/>
  <c r="GK31" i="1" s="1"/>
  <c r="V28" i="1"/>
  <c r="G22" i="1"/>
  <c r="A778" i="8"/>
  <c r="A772" i="7"/>
  <c r="AO608" i="1"/>
  <c r="AO686" i="1" s="1"/>
  <c r="U681" i="8"/>
  <c r="U675" i="7"/>
  <c r="CT604" i="1"/>
  <c r="S604" i="1" s="1"/>
  <c r="Q661" i="7"/>
  <c r="S661" i="7"/>
  <c r="S667" i="8"/>
  <c r="Q667" i="8"/>
  <c r="CS528" i="1"/>
  <c r="AG534" i="1"/>
  <c r="CM522" i="1"/>
  <c r="CR487" i="1"/>
  <c r="Q487" i="1" s="1"/>
  <c r="CT448" i="1"/>
  <c r="S448" i="1" s="1"/>
  <c r="Q584" i="7"/>
  <c r="S584" i="7"/>
  <c r="S590" i="8"/>
  <c r="Q590" i="8"/>
  <c r="CR440" i="1"/>
  <c r="Q440" i="1" s="1"/>
  <c r="CP440" i="1" s="1"/>
  <c r="O440" i="1" s="1"/>
  <c r="V437" i="1"/>
  <c r="CR435" i="1"/>
  <c r="Q435" i="1" s="1"/>
  <c r="U523" i="7"/>
  <c r="U529" i="8"/>
  <c r="BX429" i="1"/>
  <c r="U492" i="8"/>
  <c r="U486" i="7"/>
  <c r="GX392" i="1"/>
  <c r="C479" i="7"/>
  <c r="E478" i="7"/>
  <c r="D485" i="8"/>
  <c r="F484" i="8"/>
  <c r="CS391" i="1"/>
  <c r="CS390" i="1"/>
  <c r="AP356" i="1"/>
  <c r="Y356" i="1"/>
  <c r="G298" i="1"/>
  <c r="A453" i="7"/>
  <c r="A459" i="8"/>
  <c r="AD317" i="1"/>
  <c r="K442" i="7"/>
  <c r="L448" i="8"/>
  <c r="AD315" i="1"/>
  <c r="AB315" i="1" s="1"/>
  <c r="AD314" i="1"/>
  <c r="AB314" i="1" s="1"/>
  <c r="CS311" i="1"/>
  <c r="BY319" i="1"/>
  <c r="AB260" i="1"/>
  <c r="W258" i="1"/>
  <c r="GX257" i="1"/>
  <c r="CR256" i="1"/>
  <c r="Q256" i="1" s="1"/>
  <c r="AD251" i="1"/>
  <c r="AB251" i="1" s="1"/>
  <c r="K334" i="7"/>
  <c r="L340" i="8"/>
  <c r="W144" i="1"/>
  <c r="E150" i="7"/>
  <c r="F156" i="8"/>
  <c r="V128" i="1"/>
  <c r="CP74" i="1"/>
  <c r="O74" i="1" s="1"/>
  <c r="AD31" i="1"/>
  <c r="U28" i="1"/>
  <c r="R444" i="1"/>
  <c r="GK444" i="1" s="1"/>
  <c r="V565" i="7"/>
  <c r="V571" i="8"/>
  <c r="CT441" i="1"/>
  <c r="S441" i="1" s="1"/>
  <c r="S555" i="7"/>
  <c r="Q561" i="8"/>
  <c r="Q555" i="7"/>
  <c r="S561" i="8"/>
  <c r="J550" i="7"/>
  <c r="K556" i="8"/>
  <c r="C548" i="7"/>
  <c r="E547" i="7"/>
  <c r="F553" i="8"/>
  <c r="D554" i="8"/>
  <c r="K432" i="8"/>
  <c r="J426" i="7"/>
  <c r="C417" i="7"/>
  <c r="E416" i="7"/>
  <c r="D423" i="8"/>
  <c r="F422" i="8"/>
  <c r="Q395" i="7"/>
  <c r="S395" i="7"/>
  <c r="S401" i="8"/>
  <c r="Q401" i="8"/>
  <c r="J373" i="7"/>
  <c r="K379" i="8"/>
  <c r="K369" i="7"/>
  <c r="L375" i="8"/>
  <c r="CY162" i="1"/>
  <c r="X162" i="1" s="1"/>
  <c r="CZ162" i="1"/>
  <c r="Y162" i="1" s="1"/>
  <c r="J283" i="7"/>
  <c r="K289" i="8"/>
  <c r="CZ145" i="1"/>
  <c r="Y145" i="1" s="1"/>
  <c r="J242" i="7"/>
  <c r="K248" i="8"/>
  <c r="CY145" i="1"/>
  <c r="X145" i="1" s="1"/>
  <c r="CR123" i="1"/>
  <c r="CS123" i="1"/>
  <c r="W117" i="1"/>
  <c r="CT33" i="1"/>
  <c r="S33" i="1" s="1"/>
  <c r="Q42" i="7"/>
  <c r="S42" i="7"/>
  <c r="S48" i="8"/>
  <c r="Q48" i="8"/>
  <c r="T28" i="1"/>
  <c r="G640" i="1"/>
  <c r="A766" i="7"/>
  <c r="A772" i="8"/>
  <c r="V654" i="1"/>
  <c r="U746" i="7"/>
  <c r="U752" i="8"/>
  <c r="K727" i="7"/>
  <c r="L733" i="8"/>
  <c r="Q715" i="7"/>
  <c r="S715" i="7"/>
  <c r="S721" i="8"/>
  <c r="Q721" i="8"/>
  <c r="CT644" i="1"/>
  <c r="S644" i="1" s="1"/>
  <c r="K699" i="7"/>
  <c r="L705" i="8"/>
  <c r="U687" i="7"/>
  <c r="U693" i="8"/>
  <c r="J677" i="7"/>
  <c r="K683" i="8"/>
  <c r="CR526" i="1"/>
  <c r="Q526" i="1" s="1"/>
  <c r="AD534" i="1" s="1"/>
  <c r="AD522" i="1" s="1"/>
  <c r="C618" i="7"/>
  <c r="E617" i="7"/>
  <c r="D624" i="8"/>
  <c r="F623" i="8"/>
  <c r="R524" i="1"/>
  <c r="GK524" i="1" s="1"/>
  <c r="V610" i="7"/>
  <c r="V616" i="8"/>
  <c r="CS488" i="1"/>
  <c r="R488" i="1" s="1"/>
  <c r="GK488" i="1" s="1"/>
  <c r="W487" i="1"/>
  <c r="AO483" i="1"/>
  <c r="CT447" i="1"/>
  <c r="S447" i="1" s="1"/>
  <c r="S577" i="7"/>
  <c r="Q577" i="7"/>
  <c r="Q583" i="8"/>
  <c r="S583" i="8"/>
  <c r="CR444" i="1"/>
  <c r="Q444" i="1" s="1"/>
  <c r="T442" i="1"/>
  <c r="AD441" i="1"/>
  <c r="AB441" i="1" s="1"/>
  <c r="U555" i="7"/>
  <c r="U561" i="8"/>
  <c r="E507" i="7"/>
  <c r="D514" i="8"/>
  <c r="C508" i="7"/>
  <c r="F513" i="8"/>
  <c r="V393" i="1"/>
  <c r="J481" i="7"/>
  <c r="K487" i="8"/>
  <c r="C471" i="7"/>
  <c r="D477" i="8"/>
  <c r="E470" i="7"/>
  <c r="F476" i="8"/>
  <c r="CK388" i="1"/>
  <c r="F368" i="1"/>
  <c r="V356" i="1"/>
  <c r="CS317" i="1"/>
  <c r="AB317" i="1"/>
  <c r="CT316" i="1"/>
  <c r="S316" i="1" s="1"/>
  <c r="Q437" i="7"/>
  <c r="S443" i="8"/>
  <c r="Q443" i="8"/>
  <c r="S437" i="7"/>
  <c r="CT314" i="1"/>
  <c r="S314" i="1" s="1"/>
  <c r="Q416" i="7"/>
  <c r="S416" i="7"/>
  <c r="S422" i="8"/>
  <c r="Q422" i="8"/>
  <c r="CS306" i="1"/>
  <c r="CR305" i="1"/>
  <c r="Q305" i="1" s="1"/>
  <c r="U395" i="7"/>
  <c r="U401" i="8"/>
  <c r="W259" i="1"/>
  <c r="U255" i="1"/>
  <c r="CT253" i="1"/>
  <c r="S253" i="1" s="1"/>
  <c r="CT235" i="1"/>
  <c r="S235" i="1" s="1"/>
  <c r="S344" i="7"/>
  <c r="Q344" i="7"/>
  <c r="S350" i="8"/>
  <c r="Q350" i="8"/>
  <c r="CP167" i="1"/>
  <c r="O167" i="1" s="1"/>
  <c r="S166" i="1"/>
  <c r="R145" i="1"/>
  <c r="GK145" i="1" s="1"/>
  <c r="V240" i="7"/>
  <c r="V246" i="8"/>
  <c r="U218" i="7"/>
  <c r="U224" i="8"/>
  <c r="AD123" i="1"/>
  <c r="V117" i="1"/>
  <c r="U654" i="1"/>
  <c r="AH656" i="1" s="1"/>
  <c r="CT653" i="1"/>
  <c r="S653" i="1" s="1"/>
  <c r="Q752" i="7"/>
  <c r="S758" i="8"/>
  <c r="Q758" i="8"/>
  <c r="S752" i="7"/>
  <c r="AD652" i="1"/>
  <c r="U715" i="7"/>
  <c r="U721" i="8"/>
  <c r="AG656" i="1"/>
  <c r="BY656" i="1"/>
  <c r="CT602" i="1"/>
  <c r="S602" i="1" s="1"/>
  <c r="CY602" i="1" s="1"/>
  <c r="X602" i="1" s="1"/>
  <c r="S649" i="7"/>
  <c r="Q649" i="7"/>
  <c r="S655" i="8"/>
  <c r="Q655" i="8"/>
  <c r="V487" i="1"/>
  <c r="CT486" i="1"/>
  <c r="Q597" i="7"/>
  <c r="S597" i="7"/>
  <c r="S603" i="8"/>
  <c r="Q603" i="8"/>
  <c r="AB485" i="1"/>
  <c r="AB448" i="1"/>
  <c r="U577" i="7"/>
  <c r="U583" i="8"/>
  <c r="GX442" i="1"/>
  <c r="S442" i="1"/>
  <c r="S531" i="7"/>
  <c r="S537" i="8"/>
  <c r="Q537" i="8"/>
  <c r="Q531" i="7"/>
  <c r="C524" i="7"/>
  <c r="E523" i="7"/>
  <c r="F529" i="8"/>
  <c r="D530" i="8"/>
  <c r="R394" i="1"/>
  <c r="GK394" i="1" s="1"/>
  <c r="U356" i="1"/>
  <c r="CR317" i="1"/>
  <c r="Q317" i="1" s="1"/>
  <c r="U437" i="7"/>
  <c r="U443" i="8"/>
  <c r="CS314" i="1"/>
  <c r="U416" i="7"/>
  <c r="U422" i="8"/>
  <c r="CR306" i="1"/>
  <c r="Q306" i="1" s="1"/>
  <c r="CR260" i="1"/>
  <c r="Q260" i="1" s="1"/>
  <c r="CS253" i="1"/>
  <c r="CZ243" i="1"/>
  <c r="Y243" i="1" s="1"/>
  <c r="CY243" i="1"/>
  <c r="X243" i="1" s="1"/>
  <c r="CY238" i="1"/>
  <c r="X238" i="1" s="1"/>
  <c r="CZ238" i="1"/>
  <c r="Y238" i="1" s="1"/>
  <c r="U344" i="7"/>
  <c r="U350" i="8"/>
  <c r="AD235" i="1"/>
  <c r="AB235" i="1" s="1"/>
  <c r="CM109" i="1"/>
  <c r="BD169" i="1"/>
  <c r="J205" i="7"/>
  <c r="K211" i="8"/>
  <c r="K177" i="7"/>
  <c r="L183" i="8"/>
  <c r="U117" i="1"/>
  <c r="CT75" i="1"/>
  <c r="S75" i="1" s="1"/>
  <c r="Q56" i="7"/>
  <c r="S56" i="7"/>
  <c r="Q62" i="8"/>
  <c r="S62" i="8"/>
  <c r="T654" i="1"/>
  <c r="U758" i="8"/>
  <c r="U752" i="7"/>
  <c r="AB652" i="1"/>
  <c r="CT648" i="1"/>
  <c r="S648" i="1" s="1"/>
  <c r="S728" i="8"/>
  <c r="Q722" i="7"/>
  <c r="Q728" i="8"/>
  <c r="S722" i="7"/>
  <c r="L726" i="8"/>
  <c r="K720" i="7"/>
  <c r="CT643" i="1"/>
  <c r="S643" i="1" s="1"/>
  <c r="S693" i="7"/>
  <c r="S699" i="8"/>
  <c r="Q699" i="8"/>
  <c r="Q693" i="7"/>
  <c r="CT605" i="1"/>
  <c r="S605" i="1" s="1"/>
  <c r="S668" i="7"/>
  <c r="S674" i="8"/>
  <c r="Q674" i="8"/>
  <c r="Q668" i="7"/>
  <c r="U649" i="7"/>
  <c r="U655" i="8"/>
  <c r="CC534" i="1"/>
  <c r="K630" i="7"/>
  <c r="L636" i="8"/>
  <c r="U597" i="7"/>
  <c r="U603" i="8"/>
  <c r="G429" i="1"/>
  <c r="A593" i="7"/>
  <c r="A599" i="8"/>
  <c r="J579" i="7"/>
  <c r="K585" i="8"/>
  <c r="V441" i="1"/>
  <c r="CT438" i="1"/>
  <c r="Q539" i="7"/>
  <c r="S545" i="8"/>
  <c r="S539" i="7"/>
  <c r="Q545" i="8"/>
  <c r="U531" i="7"/>
  <c r="U537" i="8"/>
  <c r="R393" i="1"/>
  <c r="GK393" i="1" s="1"/>
  <c r="E462" i="7"/>
  <c r="F468" i="8"/>
  <c r="C463" i="7"/>
  <c r="D469" i="8"/>
  <c r="G388" i="1"/>
  <c r="R356" i="1"/>
  <c r="AC351" i="1"/>
  <c r="CR314" i="1"/>
  <c r="Q314" i="1" s="1"/>
  <c r="CP314" i="1" s="1"/>
  <c r="O314" i="1" s="1"/>
  <c r="K429" i="7"/>
  <c r="L435" i="8"/>
  <c r="T309" i="1"/>
  <c r="AD308" i="1"/>
  <c r="AB308" i="1" s="1"/>
  <c r="T257" i="1"/>
  <c r="AB238" i="1"/>
  <c r="E244" i="7"/>
  <c r="F250" i="8"/>
  <c r="U146" i="1"/>
  <c r="K216" i="7"/>
  <c r="L222" i="8"/>
  <c r="GX117" i="1"/>
  <c r="T117" i="1"/>
  <c r="CP115" i="1"/>
  <c r="O115" i="1" s="1"/>
  <c r="U56" i="7"/>
  <c r="U62" i="8"/>
  <c r="AO36" i="1"/>
  <c r="BX26" i="1"/>
  <c r="AT36" i="1"/>
  <c r="CC26" i="1"/>
  <c r="Q166" i="1"/>
  <c r="Q329" i="7"/>
  <c r="S335" i="8"/>
  <c r="Q335" i="8"/>
  <c r="S329" i="7"/>
  <c r="F330" i="8"/>
  <c r="E324" i="7"/>
  <c r="J322" i="7"/>
  <c r="K328" i="8"/>
  <c r="C306" i="7"/>
  <c r="E305" i="7"/>
  <c r="D312" i="8"/>
  <c r="F311" i="8"/>
  <c r="S251" i="7"/>
  <c r="Q251" i="7"/>
  <c r="S257" i="8"/>
  <c r="Q257" i="8"/>
  <c r="V146" i="1"/>
  <c r="BZ169" i="1"/>
  <c r="C172" i="7"/>
  <c r="E171" i="7"/>
  <c r="F177" i="8"/>
  <c r="D178" i="8"/>
  <c r="CT134" i="1"/>
  <c r="S134" i="1" s="1"/>
  <c r="S164" i="7"/>
  <c r="Q164" i="7"/>
  <c r="S170" i="8"/>
  <c r="Q170" i="8"/>
  <c r="S128" i="1"/>
  <c r="K153" i="7"/>
  <c r="L159" i="8"/>
  <c r="U139" i="7"/>
  <c r="U145" i="8"/>
  <c r="AB125" i="1"/>
  <c r="K137" i="7"/>
  <c r="L143" i="8"/>
  <c r="U100" i="7"/>
  <c r="U106" i="8"/>
  <c r="K92" i="7"/>
  <c r="L98" i="8"/>
  <c r="AD113" i="1"/>
  <c r="U80" i="7"/>
  <c r="U86" i="8"/>
  <c r="CT112" i="1"/>
  <c r="S112" i="1" s="1"/>
  <c r="Q74" i="7"/>
  <c r="S74" i="7"/>
  <c r="S80" i="8"/>
  <c r="Q80" i="8"/>
  <c r="BD36" i="1"/>
  <c r="BD26" i="1" s="1"/>
  <c r="CR33" i="1"/>
  <c r="Q33" i="1" s="1"/>
  <c r="U42" i="7"/>
  <c r="U48" i="8"/>
  <c r="U35" i="7"/>
  <c r="U41" i="8"/>
  <c r="CR250" i="1"/>
  <c r="Q250" i="1" s="1"/>
  <c r="CB262" i="1"/>
  <c r="AS262" i="1" s="1"/>
  <c r="J348" i="7"/>
  <c r="K354" i="8"/>
  <c r="GX165" i="1"/>
  <c r="T165" i="1"/>
  <c r="R164" i="1"/>
  <c r="GK164" i="1" s="1"/>
  <c r="U329" i="7"/>
  <c r="U335" i="8"/>
  <c r="E320" i="7"/>
  <c r="C321" i="7"/>
  <c r="D327" i="8"/>
  <c r="F326" i="8"/>
  <c r="CT157" i="1"/>
  <c r="S157" i="1" s="1"/>
  <c r="Q288" i="7"/>
  <c r="S288" i="7"/>
  <c r="S294" i="8"/>
  <c r="Q294" i="8"/>
  <c r="CR156" i="1"/>
  <c r="Q156" i="1" s="1"/>
  <c r="CP156" i="1" s="1"/>
  <c r="O156" i="1" s="1"/>
  <c r="GM156" i="1" s="1"/>
  <c r="GP156" i="1" s="1"/>
  <c r="Q274" i="7"/>
  <c r="S274" i="7"/>
  <c r="S280" i="8"/>
  <c r="Q280" i="8"/>
  <c r="Q266" i="7"/>
  <c r="S266" i="7"/>
  <c r="Q272" i="8"/>
  <c r="S272" i="8"/>
  <c r="U251" i="7"/>
  <c r="U257" i="8"/>
  <c r="E240" i="7"/>
  <c r="C241" i="7"/>
  <c r="F246" i="8"/>
  <c r="D247" i="8"/>
  <c r="S225" i="7"/>
  <c r="Q225" i="7"/>
  <c r="S231" i="8"/>
  <c r="Q231" i="8"/>
  <c r="BY169" i="1"/>
  <c r="J213" i="7"/>
  <c r="K219" i="8"/>
  <c r="K209" i="7"/>
  <c r="L215" i="8"/>
  <c r="U164" i="7"/>
  <c r="U170" i="8"/>
  <c r="CS128" i="1"/>
  <c r="T127" i="1"/>
  <c r="AD126" i="1"/>
  <c r="AB126" i="1" s="1"/>
  <c r="CS124" i="1"/>
  <c r="CZ121" i="1"/>
  <c r="Y121" i="1" s="1"/>
  <c r="K129" i="7"/>
  <c r="L135" i="8"/>
  <c r="CT119" i="1"/>
  <c r="Q117" i="7"/>
  <c r="S117" i="7"/>
  <c r="S123" i="8"/>
  <c r="Q123" i="8"/>
  <c r="Q107" i="7"/>
  <c r="S107" i="7"/>
  <c r="S113" i="8"/>
  <c r="Q113" i="8"/>
  <c r="CS112" i="1"/>
  <c r="U74" i="7"/>
  <c r="U80" i="8"/>
  <c r="BB36" i="1"/>
  <c r="T34" i="1"/>
  <c r="AB31" i="1"/>
  <c r="AB241" i="1"/>
  <c r="AD164" i="1"/>
  <c r="AD163" i="1"/>
  <c r="V161" i="1"/>
  <c r="U288" i="7"/>
  <c r="U294" i="8"/>
  <c r="CS154" i="1"/>
  <c r="U274" i="7"/>
  <c r="U280" i="8"/>
  <c r="AD153" i="1"/>
  <c r="AB153" i="1" s="1"/>
  <c r="U266" i="7"/>
  <c r="U272" i="8"/>
  <c r="W150" i="1"/>
  <c r="U144" i="1"/>
  <c r="U225" i="7"/>
  <c r="U231" i="8"/>
  <c r="S171" i="7"/>
  <c r="Q171" i="7"/>
  <c r="S177" i="8"/>
  <c r="Q177" i="8"/>
  <c r="GX128" i="1"/>
  <c r="GX127" i="1"/>
  <c r="CT127" i="1"/>
  <c r="S127" i="1" s="1"/>
  <c r="CY127" i="1" s="1"/>
  <c r="X127" i="1" s="1"/>
  <c r="Q146" i="7"/>
  <c r="S146" i="7"/>
  <c r="S152" i="8"/>
  <c r="Q152" i="8"/>
  <c r="U117" i="7"/>
  <c r="U123" i="8"/>
  <c r="U107" i="7"/>
  <c r="U113" i="8"/>
  <c r="W75" i="1"/>
  <c r="AJ77" i="1" s="1"/>
  <c r="E56" i="7"/>
  <c r="C57" i="7"/>
  <c r="F62" i="8"/>
  <c r="D63" i="8"/>
  <c r="A50" i="7"/>
  <c r="A56" i="8"/>
  <c r="W34" i="1"/>
  <c r="BZ36" i="1"/>
  <c r="CT244" i="1"/>
  <c r="S244" i="1" s="1"/>
  <c r="Q364" i="7"/>
  <c r="S364" i="7"/>
  <c r="S370" i="8"/>
  <c r="Q370" i="8"/>
  <c r="Q354" i="7"/>
  <c r="S354" i="7"/>
  <c r="S360" i="8"/>
  <c r="Q360" i="8"/>
  <c r="BY262" i="1"/>
  <c r="V164" i="1"/>
  <c r="P164" i="1"/>
  <c r="AB163" i="1"/>
  <c r="Q324" i="7"/>
  <c r="S324" i="7"/>
  <c r="Q330" i="8"/>
  <c r="S330" i="8"/>
  <c r="Q305" i="7"/>
  <c r="S305" i="7"/>
  <c r="S311" i="8"/>
  <c r="Q311" i="8"/>
  <c r="J292" i="7"/>
  <c r="K298" i="8"/>
  <c r="Q281" i="7"/>
  <c r="S281" i="7"/>
  <c r="S287" i="8"/>
  <c r="Q287" i="8"/>
  <c r="V150" i="1"/>
  <c r="GX144" i="1"/>
  <c r="T144" i="1"/>
  <c r="C219" i="7"/>
  <c r="F224" i="8"/>
  <c r="E218" i="7"/>
  <c r="D225" i="8"/>
  <c r="CT140" i="1"/>
  <c r="S140" i="1" s="1"/>
  <c r="Q201" i="7"/>
  <c r="S201" i="7"/>
  <c r="S207" i="8"/>
  <c r="Q207" i="8"/>
  <c r="CZ139" i="1"/>
  <c r="Y139" i="1" s="1"/>
  <c r="U171" i="7"/>
  <c r="U177" i="8"/>
  <c r="AD127" i="1"/>
  <c r="AB127" i="1" s="1"/>
  <c r="U146" i="7"/>
  <c r="U152" i="8"/>
  <c r="U123" i="1"/>
  <c r="Q124" i="7"/>
  <c r="S124" i="7"/>
  <c r="S130" i="8"/>
  <c r="Q130" i="8"/>
  <c r="AD117" i="1"/>
  <c r="U34" i="1"/>
  <c r="S371" i="7"/>
  <c r="Q371" i="7"/>
  <c r="S377" i="8"/>
  <c r="Q377" i="8"/>
  <c r="CC262" i="1"/>
  <c r="U370" i="8"/>
  <c r="U364" i="7"/>
  <c r="AD239" i="1"/>
  <c r="AB239" i="1" s="1"/>
  <c r="U354" i="7"/>
  <c r="U360" i="8"/>
  <c r="AB164" i="1"/>
  <c r="CT163" i="1"/>
  <c r="S163" i="1" s="1"/>
  <c r="U324" i="7"/>
  <c r="U330" i="8"/>
  <c r="AD159" i="1"/>
  <c r="AB159" i="1" s="1"/>
  <c r="U305" i="7"/>
  <c r="U311" i="8"/>
  <c r="U281" i="7"/>
  <c r="U287" i="8"/>
  <c r="T145" i="1"/>
  <c r="Q233" i="7"/>
  <c r="S233" i="7"/>
  <c r="S239" i="8"/>
  <c r="Q239" i="8"/>
  <c r="AD140" i="1"/>
  <c r="U201" i="7"/>
  <c r="U207" i="8"/>
  <c r="Q179" i="7"/>
  <c r="S179" i="7"/>
  <c r="S185" i="8"/>
  <c r="Q185" i="8"/>
  <c r="C165" i="7"/>
  <c r="E164" i="7"/>
  <c r="F170" i="8"/>
  <c r="D171" i="8"/>
  <c r="E139" i="7"/>
  <c r="C140" i="7"/>
  <c r="D146" i="8"/>
  <c r="F145" i="8"/>
  <c r="C132" i="7"/>
  <c r="E131" i="7"/>
  <c r="D138" i="8"/>
  <c r="F137" i="8"/>
  <c r="U124" i="7"/>
  <c r="U130" i="8"/>
  <c r="AB117" i="1"/>
  <c r="S28" i="1"/>
  <c r="CZ28" i="1" s="1"/>
  <c r="Y28" i="1" s="1"/>
  <c r="U371" i="7"/>
  <c r="U377" i="8"/>
  <c r="CS241" i="1"/>
  <c r="R241" i="1" s="1"/>
  <c r="GK241" i="1" s="1"/>
  <c r="G68" i="1"/>
  <c r="A340" i="7"/>
  <c r="A346" i="8"/>
  <c r="BC169" i="1"/>
  <c r="V329" i="7"/>
  <c r="V335" i="8"/>
  <c r="Q320" i="7"/>
  <c r="S320" i="7"/>
  <c r="S326" i="8"/>
  <c r="Q326" i="8"/>
  <c r="CT160" i="1"/>
  <c r="S160" i="1" s="1"/>
  <c r="S312" i="7"/>
  <c r="Q312" i="7"/>
  <c r="Q318" i="8"/>
  <c r="S318" i="8"/>
  <c r="K264" i="7"/>
  <c r="L270" i="8"/>
  <c r="T150" i="1"/>
  <c r="T146" i="1"/>
  <c r="Q240" i="7"/>
  <c r="S240" i="7"/>
  <c r="S246" i="8"/>
  <c r="Q246" i="8"/>
  <c r="U233" i="7"/>
  <c r="U239" i="8"/>
  <c r="Q188" i="7"/>
  <c r="S188" i="7"/>
  <c r="S194" i="8"/>
  <c r="Q194" i="8"/>
  <c r="CS136" i="1"/>
  <c r="U179" i="7"/>
  <c r="U185" i="8"/>
  <c r="T135" i="1"/>
  <c r="CQ125" i="1"/>
  <c r="P125" i="1" s="1"/>
  <c r="CP125" i="1" s="1"/>
  <c r="O125" i="1" s="1"/>
  <c r="GM125" i="1" s="1"/>
  <c r="GP125" i="1" s="1"/>
  <c r="Q122" i="1"/>
  <c r="P119" i="1"/>
  <c r="C118" i="7"/>
  <c r="E117" i="7"/>
  <c r="D124" i="8"/>
  <c r="F123" i="8"/>
  <c r="S117" i="1"/>
  <c r="C81" i="7"/>
  <c r="E80" i="7"/>
  <c r="F86" i="8"/>
  <c r="D87" i="8"/>
  <c r="A68" i="7"/>
  <c r="A74" i="8"/>
  <c r="CP34" i="1"/>
  <c r="O34" i="1" s="1"/>
  <c r="BZ262" i="1"/>
  <c r="G109" i="1"/>
  <c r="A337" i="7"/>
  <c r="A343" i="8"/>
  <c r="U320" i="7"/>
  <c r="U326" i="8"/>
  <c r="U312" i="7"/>
  <c r="U318" i="8"/>
  <c r="CT158" i="1"/>
  <c r="S158" i="1" s="1"/>
  <c r="Q298" i="7"/>
  <c r="S298" i="7"/>
  <c r="S304" i="8"/>
  <c r="Q304" i="8"/>
  <c r="S150" i="1"/>
  <c r="CT146" i="1"/>
  <c r="S146" i="1" s="1"/>
  <c r="Q244" i="7"/>
  <c r="S244" i="7"/>
  <c r="S250" i="8"/>
  <c r="Q250" i="8"/>
  <c r="U240" i="7"/>
  <c r="U246" i="8"/>
  <c r="C226" i="7"/>
  <c r="E225" i="7"/>
  <c r="F231" i="8"/>
  <c r="D232" i="8"/>
  <c r="CC169" i="1"/>
  <c r="Q194" i="7"/>
  <c r="S194" i="7"/>
  <c r="S200" i="8"/>
  <c r="Q200" i="8"/>
  <c r="AD137" i="1"/>
  <c r="AB137" i="1" s="1"/>
  <c r="U188" i="7"/>
  <c r="U194" i="8"/>
  <c r="CT135" i="1"/>
  <c r="S135" i="1" s="1"/>
  <c r="AB135" i="1"/>
  <c r="R117" i="1"/>
  <c r="GK117" i="1" s="1"/>
  <c r="V107" i="7"/>
  <c r="V113" i="8"/>
  <c r="CT114" i="1"/>
  <c r="S114" i="1" s="1"/>
  <c r="Q87" i="7"/>
  <c r="S87" i="7"/>
  <c r="S93" i="8"/>
  <c r="Q93" i="8"/>
  <c r="CS113" i="1"/>
  <c r="AD30" i="1"/>
  <c r="AB30" i="1" s="1"/>
  <c r="S250" i="1"/>
  <c r="CY250" i="1" s="1"/>
  <c r="X250" i="1" s="1"/>
  <c r="CT239" i="1"/>
  <c r="S239" i="1" s="1"/>
  <c r="T167" i="1"/>
  <c r="P166" i="1"/>
  <c r="Q164" i="1"/>
  <c r="CQ163" i="1"/>
  <c r="P163" i="1" s="1"/>
  <c r="CP163" i="1" s="1"/>
  <c r="O163" i="1" s="1"/>
  <c r="CZ161" i="1"/>
  <c r="Y161" i="1" s="1"/>
  <c r="AD161" i="1"/>
  <c r="AB161" i="1" s="1"/>
  <c r="CT159" i="1"/>
  <c r="S159" i="1" s="1"/>
  <c r="CS158" i="1"/>
  <c r="U298" i="7"/>
  <c r="U304" i="8"/>
  <c r="CT154" i="1"/>
  <c r="S154" i="1" s="1"/>
  <c r="C267" i="7"/>
  <c r="E266" i="7"/>
  <c r="F272" i="8"/>
  <c r="D273" i="8"/>
  <c r="CT152" i="1"/>
  <c r="S152" i="1" s="1"/>
  <c r="Q260" i="7"/>
  <c r="S260" i="7"/>
  <c r="S266" i="8"/>
  <c r="Q266" i="8"/>
  <c r="CT151" i="1"/>
  <c r="S151" i="1" s="1"/>
  <c r="U250" i="8"/>
  <c r="U244" i="7"/>
  <c r="AD145" i="1"/>
  <c r="AD138" i="1"/>
  <c r="AB138" i="1" s="1"/>
  <c r="U194" i="7"/>
  <c r="U200" i="8"/>
  <c r="R135" i="1"/>
  <c r="GK135" i="1" s="1"/>
  <c r="V171" i="7"/>
  <c r="V177" i="8"/>
  <c r="AB128" i="1"/>
  <c r="Q150" i="7"/>
  <c r="S150" i="7"/>
  <c r="S156" i="8"/>
  <c r="Q156" i="8"/>
  <c r="R127" i="1"/>
  <c r="GK127" i="1" s="1"/>
  <c r="V146" i="7"/>
  <c r="V152" i="8"/>
  <c r="CT124" i="1"/>
  <c r="S124" i="1" s="1"/>
  <c r="S131" i="7"/>
  <c r="Q131" i="7"/>
  <c r="S137" i="8"/>
  <c r="Q137" i="8"/>
  <c r="Q117" i="1"/>
  <c r="S94" i="7"/>
  <c r="Q94" i="7"/>
  <c r="S100" i="8"/>
  <c r="Q100" i="8"/>
  <c r="U87" i="7"/>
  <c r="U93" i="8"/>
  <c r="W113" i="1"/>
  <c r="E74" i="7"/>
  <c r="F80" i="8"/>
  <c r="V75" i="1"/>
  <c r="AI77" i="1" s="1"/>
  <c r="AI72" i="1" s="1"/>
  <c r="V34" i="1"/>
  <c r="C43" i="7"/>
  <c r="E42" i="7"/>
  <c r="F48" i="8"/>
  <c r="D49" i="8"/>
  <c r="AB28" i="1"/>
  <c r="CT248" i="1"/>
  <c r="S248" i="1" s="1"/>
  <c r="V364" i="7"/>
  <c r="V370" i="8"/>
  <c r="R239" i="1"/>
  <c r="V354" i="7"/>
  <c r="J361" i="7" s="1"/>
  <c r="V360" i="8"/>
  <c r="K367" i="8" s="1"/>
  <c r="K352" i="7"/>
  <c r="L358" i="8"/>
  <c r="W166" i="1"/>
  <c r="R165" i="1"/>
  <c r="GK165" i="1" s="1"/>
  <c r="GX164" i="1"/>
  <c r="CY161" i="1"/>
  <c r="X161" i="1" s="1"/>
  <c r="R159" i="1"/>
  <c r="GK159" i="1" s="1"/>
  <c r="V305" i="7"/>
  <c r="V311" i="8"/>
  <c r="U159" i="1"/>
  <c r="K286" i="7"/>
  <c r="L292" i="8"/>
  <c r="AD152" i="1"/>
  <c r="U260" i="7"/>
  <c r="U266" i="8"/>
  <c r="P146" i="1"/>
  <c r="CP145" i="1"/>
  <c r="O145" i="1" s="1"/>
  <c r="GM145" i="1" s="1"/>
  <c r="GP145" i="1" s="1"/>
  <c r="J243" i="7"/>
  <c r="K249" i="8"/>
  <c r="S143" i="1"/>
  <c r="K192" i="7"/>
  <c r="L198" i="8"/>
  <c r="K186" i="7"/>
  <c r="L192" i="8"/>
  <c r="Q135" i="1"/>
  <c r="S133" i="1"/>
  <c r="K160" i="7"/>
  <c r="L166" i="8"/>
  <c r="U150" i="7"/>
  <c r="U156" i="8"/>
  <c r="E146" i="7"/>
  <c r="C147" i="7"/>
  <c r="F152" i="8"/>
  <c r="D153" i="8"/>
  <c r="U131" i="7"/>
  <c r="U137" i="8"/>
  <c r="R120" i="1"/>
  <c r="GK120" i="1" s="1"/>
  <c r="V124" i="7"/>
  <c r="V130" i="8"/>
  <c r="P117" i="1"/>
  <c r="CS115" i="1"/>
  <c r="U94" i="7"/>
  <c r="U100" i="8"/>
  <c r="V113" i="1"/>
  <c r="U75" i="1"/>
  <c r="CS29" i="1"/>
  <c r="R29" i="1" s="1"/>
  <c r="GK29" i="1" s="1"/>
  <c r="R248" i="1"/>
  <c r="GK248" i="1" s="1"/>
  <c r="V371" i="7"/>
  <c r="V377" i="8"/>
  <c r="R244" i="1"/>
  <c r="GK244" i="1" s="1"/>
  <c r="J356" i="7"/>
  <c r="K362" i="8"/>
  <c r="C330" i="7"/>
  <c r="E329" i="7"/>
  <c r="F335" i="8"/>
  <c r="D336" i="8"/>
  <c r="CS162" i="1"/>
  <c r="C313" i="7"/>
  <c r="F318" i="8"/>
  <c r="E312" i="7"/>
  <c r="D319" i="8"/>
  <c r="CT155" i="1"/>
  <c r="S155" i="1" s="1"/>
  <c r="E274" i="7"/>
  <c r="C275" i="7"/>
  <c r="D281" i="8"/>
  <c r="F280" i="8"/>
  <c r="K247" i="7"/>
  <c r="L253" i="8"/>
  <c r="AB145" i="1"/>
  <c r="V144" i="1"/>
  <c r="CT142" i="1"/>
  <c r="S142" i="1" s="1"/>
  <c r="S218" i="7"/>
  <c r="Q218" i="7"/>
  <c r="S224" i="8"/>
  <c r="Q224" i="8"/>
  <c r="P135" i="1"/>
  <c r="J149" i="7"/>
  <c r="K155" i="8"/>
  <c r="K105" i="7"/>
  <c r="L111" i="8"/>
  <c r="AD115" i="1"/>
  <c r="AB115" i="1" s="1"/>
  <c r="K40" i="7"/>
  <c r="L46" i="8"/>
  <c r="Q30" i="1"/>
  <c r="R28" i="1"/>
  <c r="GK28" i="1" s="1"/>
  <c r="G26" i="1"/>
  <c r="AJ522" i="1"/>
  <c r="W534" i="1"/>
  <c r="U490" i="1"/>
  <c r="AH483" i="1"/>
  <c r="BA451" i="1"/>
  <c r="CJ429" i="1"/>
  <c r="AG640" i="1"/>
  <c r="T656" i="1"/>
  <c r="V608" i="1"/>
  <c r="AI600" i="1"/>
  <c r="U608" i="1"/>
  <c r="AH600" i="1"/>
  <c r="AH522" i="1"/>
  <c r="U534" i="1"/>
  <c r="AT534" i="1"/>
  <c r="CC522" i="1"/>
  <c r="CY646" i="1"/>
  <c r="X646" i="1" s="1"/>
  <c r="CZ646" i="1"/>
  <c r="Y646" i="1" s="1"/>
  <c r="AJ656" i="1"/>
  <c r="CY649" i="1"/>
  <c r="X649" i="1" s="1"/>
  <c r="CZ649" i="1"/>
  <c r="Y649" i="1" s="1"/>
  <c r="AI656" i="1"/>
  <c r="CY488" i="1"/>
  <c r="X488" i="1" s="1"/>
  <c r="CZ488" i="1"/>
  <c r="Y488" i="1" s="1"/>
  <c r="CZ485" i="1"/>
  <c r="Y485" i="1" s="1"/>
  <c r="CY485" i="1"/>
  <c r="X485" i="1" s="1"/>
  <c r="GM485" i="1" s="1"/>
  <c r="GP485" i="1" s="1"/>
  <c r="AB653" i="1"/>
  <c r="CY652" i="1"/>
  <c r="X652" i="1" s="1"/>
  <c r="CZ652" i="1"/>
  <c r="Y652" i="1" s="1"/>
  <c r="GM650" i="1"/>
  <c r="GP650" i="1" s="1"/>
  <c r="BZ600" i="1"/>
  <c r="AQ608" i="1"/>
  <c r="CG608" i="1"/>
  <c r="AI534" i="1"/>
  <c r="GX439" i="1"/>
  <c r="V439" i="1"/>
  <c r="CY650" i="1"/>
  <c r="X650" i="1" s="1"/>
  <c r="AB650" i="1"/>
  <c r="CP647" i="1"/>
  <c r="O647" i="1" s="1"/>
  <c r="CY643" i="1"/>
  <c r="X643" i="1" s="1"/>
  <c r="CZ643" i="1"/>
  <c r="Y643" i="1" s="1"/>
  <c r="CY603" i="1"/>
  <c r="X603" i="1" s="1"/>
  <c r="CZ603" i="1"/>
  <c r="Y603" i="1" s="1"/>
  <c r="AQ534" i="1"/>
  <c r="CJ608" i="1"/>
  <c r="CR602" i="1"/>
  <c r="Q602" i="1" s="1"/>
  <c r="CS602" i="1"/>
  <c r="AD602" i="1"/>
  <c r="GK526" i="1"/>
  <c r="CZ530" i="1"/>
  <c r="Y530" i="1" s="1"/>
  <c r="CY530" i="1"/>
  <c r="X530" i="1" s="1"/>
  <c r="CY527" i="1"/>
  <c r="X527" i="1" s="1"/>
  <c r="CZ527" i="1"/>
  <c r="Y527" i="1" s="1"/>
  <c r="CP431" i="1"/>
  <c r="O431" i="1" s="1"/>
  <c r="CS654" i="1"/>
  <c r="CR654" i="1"/>
  <c r="Q654" i="1" s="1"/>
  <c r="CY532" i="1"/>
  <c r="X532" i="1" s="1"/>
  <c r="CZ532" i="1"/>
  <c r="Y532" i="1" s="1"/>
  <c r="CQ602" i="1"/>
  <c r="P602" i="1" s="1"/>
  <c r="AB602" i="1"/>
  <c r="CC483" i="1"/>
  <c r="AT490" i="1"/>
  <c r="AC490" i="1"/>
  <c r="CC451" i="1"/>
  <c r="CZ448" i="1"/>
  <c r="Y448" i="1" s="1"/>
  <c r="CZ236" i="1"/>
  <c r="Y236" i="1" s="1"/>
  <c r="CY236" i="1"/>
  <c r="X236" i="1" s="1"/>
  <c r="AD654" i="1"/>
  <c r="AB654" i="1" s="1"/>
  <c r="CR604" i="1"/>
  <c r="Q604" i="1" s="1"/>
  <c r="CS604" i="1"/>
  <c r="AD604" i="1"/>
  <c r="AB604" i="1" s="1"/>
  <c r="CB656" i="1"/>
  <c r="CQ604" i="1"/>
  <c r="P604" i="1" s="1"/>
  <c r="GX486" i="1"/>
  <c r="CJ490" i="1" s="1"/>
  <c r="W486" i="1"/>
  <c r="AJ490" i="1" s="1"/>
  <c r="CY644" i="1"/>
  <c r="X644" i="1" s="1"/>
  <c r="CZ644" i="1"/>
  <c r="Y644" i="1" s="1"/>
  <c r="F660" i="1"/>
  <c r="AO640" i="1"/>
  <c r="BD656" i="1"/>
  <c r="F633" i="1"/>
  <c r="BD600" i="1"/>
  <c r="AP600" i="1"/>
  <c r="F617" i="1"/>
  <c r="BY429" i="1"/>
  <c r="AP451" i="1"/>
  <c r="AG522" i="1"/>
  <c r="T534" i="1"/>
  <c r="CS651" i="1"/>
  <c r="CR651" i="1"/>
  <c r="Q651" i="1" s="1"/>
  <c r="CR645" i="1"/>
  <c r="Q645" i="1" s="1"/>
  <c r="CS645" i="1"/>
  <c r="R645" i="1" s="1"/>
  <c r="GK645" i="1" s="1"/>
  <c r="CQ645" i="1"/>
  <c r="P645" i="1" s="1"/>
  <c r="AB645" i="1"/>
  <c r="BZ656" i="1"/>
  <c r="CJ534" i="1"/>
  <c r="CY441" i="1"/>
  <c r="X441" i="1" s="1"/>
  <c r="CZ441" i="1"/>
  <c r="Y441" i="1" s="1"/>
  <c r="U439" i="1"/>
  <c r="CZ241" i="1"/>
  <c r="Y241" i="1" s="1"/>
  <c r="CY241" i="1"/>
  <c r="X241" i="1" s="1"/>
  <c r="CB451" i="1"/>
  <c r="BB656" i="1"/>
  <c r="CR642" i="1"/>
  <c r="Q642" i="1" s="1"/>
  <c r="CS642" i="1"/>
  <c r="AD642" i="1"/>
  <c r="AB642" i="1" s="1"/>
  <c r="AJ608" i="1"/>
  <c r="BY600" i="1"/>
  <c r="AD651" i="1"/>
  <c r="BC656" i="1"/>
  <c r="CZ651" i="1"/>
  <c r="Y651" i="1" s="1"/>
  <c r="CQ642" i="1"/>
  <c r="P642" i="1" s="1"/>
  <c r="CI608" i="1"/>
  <c r="CZ528" i="1"/>
  <c r="Y528" i="1" s="1"/>
  <c r="CY528" i="1"/>
  <c r="X528" i="1" s="1"/>
  <c r="AB526" i="1"/>
  <c r="AD436" i="1"/>
  <c r="AB436" i="1" s="1"/>
  <c r="CR436" i="1"/>
  <c r="Q436" i="1" s="1"/>
  <c r="CS436" i="1"/>
  <c r="R436" i="1" s="1"/>
  <c r="GK436" i="1" s="1"/>
  <c r="AT656" i="1"/>
  <c r="CC640" i="1"/>
  <c r="CZ605" i="1"/>
  <c r="Y605" i="1" s="1"/>
  <c r="CP532" i="1"/>
  <c r="O532" i="1" s="1"/>
  <c r="W654" i="1"/>
  <c r="CS653" i="1"/>
  <c r="CR653" i="1"/>
  <c r="Q653" i="1" s="1"/>
  <c r="CP653" i="1" s="1"/>
  <c r="O653" i="1" s="1"/>
  <c r="CZ645" i="1"/>
  <c r="Y645" i="1" s="1"/>
  <c r="CY604" i="1"/>
  <c r="X604" i="1" s="1"/>
  <c r="AG608" i="1"/>
  <c r="F551" i="1"/>
  <c r="AS522" i="1"/>
  <c r="CY529" i="1"/>
  <c r="X529" i="1" s="1"/>
  <c r="CZ529" i="1"/>
  <c r="Y529" i="1" s="1"/>
  <c r="V486" i="1"/>
  <c r="AI490" i="1" s="1"/>
  <c r="CP488" i="1"/>
  <c r="O488" i="1" s="1"/>
  <c r="CS648" i="1"/>
  <c r="CR648" i="1"/>
  <c r="Q648" i="1" s="1"/>
  <c r="CY647" i="1"/>
  <c r="X647" i="1" s="1"/>
  <c r="CZ647" i="1"/>
  <c r="Y647" i="1" s="1"/>
  <c r="CR606" i="1"/>
  <c r="Q606" i="1" s="1"/>
  <c r="CP606" i="1" s="1"/>
  <c r="O606" i="1" s="1"/>
  <c r="CS606" i="1"/>
  <c r="CC608" i="1"/>
  <c r="CQ530" i="1"/>
  <c r="P530" i="1" s="1"/>
  <c r="AB530" i="1"/>
  <c r="CY526" i="1"/>
  <c r="X526" i="1" s="1"/>
  <c r="CZ526" i="1"/>
  <c r="Y526" i="1" s="1"/>
  <c r="CY487" i="1"/>
  <c r="X487" i="1" s="1"/>
  <c r="CZ487" i="1"/>
  <c r="Y487" i="1" s="1"/>
  <c r="CR529" i="1"/>
  <c r="Q529" i="1" s="1"/>
  <c r="CP529" i="1" s="1"/>
  <c r="O529" i="1" s="1"/>
  <c r="CS529" i="1"/>
  <c r="R529" i="1" s="1"/>
  <c r="GK529" i="1" s="1"/>
  <c r="GX527" i="1"/>
  <c r="U527" i="1"/>
  <c r="P526" i="1"/>
  <c r="P487" i="1"/>
  <c r="T486" i="1"/>
  <c r="AG490" i="1" s="1"/>
  <c r="AB444" i="1"/>
  <c r="CQ444" i="1"/>
  <c r="P444" i="1" s="1"/>
  <c r="CP444" i="1" s="1"/>
  <c r="O444" i="1" s="1"/>
  <c r="BX522" i="1"/>
  <c r="CY431" i="1"/>
  <c r="X431" i="1" s="1"/>
  <c r="CZ431" i="1"/>
  <c r="Y431" i="1" s="1"/>
  <c r="AB307" i="1"/>
  <c r="CQ307" i="1"/>
  <c r="P307" i="1" s="1"/>
  <c r="CP307" i="1" s="1"/>
  <c r="O307" i="1" s="1"/>
  <c r="AB529" i="1"/>
  <c r="CR527" i="1"/>
  <c r="Q527" i="1" s="1"/>
  <c r="CP527" i="1" s="1"/>
  <c r="O527" i="1" s="1"/>
  <c r="CS527" i="1"/>
  <c r="R527" i="1" s="1"/>
  <c r="GK527" i="1" s="1"/>
  <c r="CP524" i="1"/>
  <c r="O524" i="1" s="1"/>
  <c r="T434" i="1"/>
  <c r="AB648" i="1"/>
  <c r="AD643" i="1"/>
  <c r="AB643" i="1" s="1"/>
  <c r="AO564" i="1"/>
  <c r="AD527" i="1"/>
  <c r="AB527" i="1" s="1"/>
  <c r="BC483" i="1"/>
  <c r="AB449" i="1"/>
  <c r="P439" i="1"/>
  <c r="Q434" i="1"/>
  <c r="CP434" i="1" s="1"/>
  <c r="O434" i="1" s="1"/>
  <c r="GX432" i="1"/>
  <c r="W432" i="1"/>
  <c r="CY309" i="1"/>
  <c r="X309" i="1" s="1"/>
  <c r="CZ309" i="1"/>
  <c r="Y309" i="1" s="1"/>
  <c r="CP309" i="1"/>
  <c r="O309" i="1" s="1"/>
  <c r="S486" i="1"/>
  <c r="BB483" i="1"/>
  <c r="CS446" i="1"/>
  <c r="CR446" i="1"/>
  <c r="Q446" i="1" s="1"/>
  <c r="CP446" i="1" s="1"/>
  <c r="O446" i="1" s="1"/>
  <c r="AD446" i="1"/>
  <c r="AB446" i="1" s="1"/>
  <c r="CZ445" i="1"/>
  <c r="Y445" i="1" s="1"/>
  <c r="CY445" i="1"/>
  <c r="X445" i="1" s="1"/>
  <c r="W434" i="1"/>
  <c r="F375" i="1"/>
  <c r="AU351" i="1"/>
  <c r="W351" i="1"/>
  <c r="F380" i="1"/>
  <c r="CY255" i="1"/>
  <c r="X255" i="1" s="1"/>
  <c r="CZ255" i="1"/>
  <c r="Y255" i="1" s="1"/>
  <c r="AD486" i="1"/>
  <c r="AB486" i="1" s="1"/>
  <c r="CR486" i="1"/>
  <c r="Q486" i="1" s="1"/>
  <c r="AD490" i="1" s="1"/>
  <c r="CS486" i="1"/>
  <c r="CS442" i="1"/>
  <c r="R442" i="1" s="1"/>
  <c r="GK442" i="1" s="1"/>
  <c r="CR442" i="1"/>
  <c r="Q442" i="1" s="1"/>
  <c r="V434" i="1"/>
  <c r="CZ395" i="1"/>
  <c r="Y395" i="1" s="1"/>
  <c r="CY395" i="1"/>
  <c r="X395" i="1" s="1"/>
  <c r="CY393" i="1"/>
  <c r="X393" i="1" s="1"/>
  <c r="CZ393" i="1"/>
  <c r="Y393" i="1" s="1"/>
  <c r="CY391" i="1"/>
  <c r="X391" i="1" s="1"/>
  <c r="CZ391" i="1"/>
  <c r="Y391" i="1" s="1"/>
  <c r="AS351" i="1"/>
  <c r="F373" i="1"/>
  <c r="AT319" i="1"/>
  <c r="CC298" i="1"/>
  <c r="AD605" i="1"/>
  <c r="AB605" i="1" s="1"/>
  <c r="AB488" i="1"/>
  <c r="AD442" i="1"/>
  <c r="AB442" i="1" s="1"/>
  <c r="W438" i="1"/>
  <c r="U434" i="1"/>
  <c r="U432" i="1"/>
  <c r="BD388" i="1"/>
  <c r="F422" i="1"/>
  <c r="CJ397" i="1"/>
  <c r="AB487" i="1"/>
  <c r="CL483" i="1"/>
  <c r="CP445" i="1"/>
  <c r="O445" i="1" s="1"/>
  <c r="CQ442" i="1"/>
  <c r="P442" i="1" s="1"/>
  <c r="T439" i="1"/>
  <c r="V438" i="1"/>
  <c r="AI451" i="1" s="1"/>
  <c r="T432" i="1"/>
  <c r="AO429" i="1"/>
  <c r="CP395" i="1"/>
  <c r="O395" i="1" s="1"/>
  <c r="CZ252" i="1"/>
  <c r="Y252" i="1" s="1"/>
  <c r="CY252" i="1"/>
  <c r="X252" i="1" s="1"/>
  <c r="AB651" i="1"/>
  <c r="BZ483" i="1"/>
  <c r="AQ490" i="1"/>
  <c r="R441" i="1"/>
  <c r="GK441" i="1" s="1"/>
  <c r="S439" i="1"/>
  <c r="U438" i="1"/>
  <c r="S432" i="1"/>
  <c r="CZ394" i="1"/>
  <c r="Y394" i="1" s="1"/>
  <c r="CY394" i="1"/>
  <c r="X394" i="1" s="1"/>
  <c r="CB388" i="1"/>
  <c r="AS397" i="1"/>
  <c r="CZ354" i="1"/>
  <c r="Y354" i="1" s="1"/>
  <c r="CY354" i="1"/>
  <c r="X354" i="1" s="1"/>
  <c r="CS643" i="1"/>
  <c r="CY449" i="1"/>
  <c r="X449" i="1" s="1"/>
  <c r="CZ449" i="1"/>
  <c r="Y449" i="1" s="1"/>
  <c r="CR439" i="1"/>
  <c r="Q439" i="1" s="1"/>
  <c r="CS439" i="1"/>
  <c r="R439" i="1" s="1"/>
  <c r="GK439" i="1" s="1"/>
  <c r="T438" i="1"/>
  <c r="AG451" i="1" s="1"/>
  <c r="R434" i="1"/>
  <c r="GK434" i="1" s="1"/>
  <c r="P432" i="1"/>
  <c r="BZ451" i="1"/>
  <c r="BY298" i="1"/>
  <c r="AP319" i="1"/>
  <c r="AB525" i="1"/>
  <c r="CK522" i="1"/>
  <c r="CG490" i="1"/>
  <c r="AS490" i="1"/>
  <c r="AP490" i="1"/>
  <c r="BY483" i="1"/>
  <c r="P441" i="1"/>
  <c r="AD439" i="1"/>
  <c r="AB439" i="1" s="1"/>
  <c r="S438" i="1"/>
  <c r="CP436" i="1"/>
  <c r="O436" i="1" s="1"/>
  <c r="GM436" i="1" s="1"/>
  <c r="GP436" i="1" s="1"/>
  <c r="F413" i="1"/>
  <c r="BC388" i="1"/>
  <c r="AP397" i="1"/>
  <c r="BY388" i="1"/>
  <c r="CE351" i="1"/>
  <c r="AV356" i="1"/>
  <c r="CP354" i="1"/>
  <c r="O354" i="1" s="1"/>
  <c r="GM354" i="1" s="1"/>
  <c r="GP354" i="1" s="1"/>
  <c r="AD646" i="1"/>
  <c r="AB646" i="1" s="1"/>
  <c r="CS646" i="1"/>
  <c r="CG534" i="1"/>
  <c r="BY534" i="1"/>
  <c r="CS438" i="1"/>
  <c r="CR438" i="1"/>
  <c r="Q438" i="1" s="1"/>
  <c r="AD438" i="1"/>
  <c r="AB438" i="1" s="1"/>
  <c r="CY437" i="1"/>
  <c r="X437" i="1" s="1"/>
  <c r="CZ437" i="1"/>
  <c r="Y437" i="1" s="1"/>
  <c r="CY433" i="1"/>
  <c r="X433" i="1" s="1"/>
  <c r="CZ433" i="1"/>
  <c r="Y433" i="1" s="1"/>
  <c r="CP393" i="1"/>
  <c r="O393" i="1" s="1"/>
  <c r="AI397" i="1"/>
  <c r="BD298" i="1"/>
  <c r="F344" i="1"/>
  <c r="CY312" i="1"/>
  <c r="X312" i="1" s="1"/>
  <c r="CZ312" i="1"/>
  <c r="Y312" i="1" s="1"/>
  <c r="CY311" i="1"/>
  <c r="X311" i="1" s="1"/>
  <c r="CZ311" i="1"/>
  <c r="Y311" i="1" s="1"/>
  <c r="F547" i="1"/>
  <c r="AD531" i="1"/>
  <c r="AB531" i="1" s="1"/>
  <c r="CZ525" i="1"/>
  <c r="Y525" i="1" s="1"/>
  <c r="GM525" i="1" s="1"/>
  <c r="GP525" i="1" s="1"/>
  <c r="CY524" i="1"/>
  <c r="X524" i="1" s="1"/>
  <c r="AD447" i="1"/>
  <c r="AB447" i="1" s="1"/>
  <c r="CR447" i="1"/>
  <c r="Q447" i="1" s="1"/>
  <c r="P438" i="1"/>
  <c r="F374" i="1"/>
  <c r="AT351" i="1"/>
  <c r="CQ353" i="1"/>
  <c r="P353" i="1" s="1"/>
  <c r="AB353" i="1"/>
  <c r="BC298" i="1"/>
  <c r="F335" i="1"/>
  <c r="CZ317" i="1"/>
  <c r="Y317" i="1" s="1"/>
  <c r="CY317" i="1"/>
  <c r="X317" i="1" s="1"/>
  <c r="BC231" i="1"/>
  <c r="F278" i="1"/>
  <c r="W431" i="1"/>
  <c r="AJ451" i="1" s="1"/>
  <c r="W392" i="1"/>
  <c r="AJ397" i="1" s="1"/>
  <c r="R391" i="1"/>
  <c r="GK391" i="1" s="1"/>
  <c r="U351" i="1"/>
  <c r="F378" i="1"/>
  <c r="AO351" i="1"/>
  <c r="CR302" i="1"/>
  <c r="Q302" i="1" s="1"/>
  <c r="AD302" i="1"/>
  <c r="CR249" i="1"/>
  <c r="Q249" i="1" s="1"/>
  <c r="CP249" i="1" s="1"/>
  <c r="O249" i="1" s="1"/>
  <c r="CS249" i="1"/>
  <c r="R249" i="1" s="1"/>
  <c r="GK249" i="1" s="1"/>
  <c r="AD249" i="1"/>
  <c r="AB249" i="1" s="1"/>
  <c r="CP241" i="1"/>
  <c r="O241" i="1" s="1"/>
  <c r="CP437" i="1"/>
  <c r="O437" i="1" s="1"/>
  <c r="T392" i="1"/>
  <c r="AK351" i="1"/>
  <c r="X356" i="1"/>
  <c r="F323" i="1"/>
  <c r="AO298" i="1"/>
  <c r="AD435" i="1"/>
  <c r="AB435" i="1" s="1"/>
  <c r="S434" i="1"/>
  <c r="S392" i="1"/>
  <c r="BX351" i="1"/>
  <c r="CS160" i="1"/>
  <c r="CR160" i="1"/>
  <c r="Q160" i="1" s="1"/>
  <c r="AD160" i="1"/>
  <c r="AB160" i="1" s="1"/>
  <c r="CP433" i="1"/>
  <c r="O433" i="1" s="1"/>
  <c r="CQ394" i="1"/>
  <c r="P394" i="1" s="1"/>
  <c r="AB394" i="1"/>
  <c r="CR392" i="1"/>
  <c r="Q392" i="1" s="1"/>
  <c r="AD397" i="1" s="1"/>
  <c r="CS392" i="1"/>
  <c r="W353" i="1"/>
  <c r="CR259" i="1"/>
  <c r="Q259" i="1" s="1"/>
  <c r="AD259" i="1"/>
  <c r="CS259" i="1"/>
  <c r="R259" i="1" s="1"/>
  <c r="GK259" i="1" s="1"/>
  <c r="CR255" i="1"/>
  <c r="Q255" i="1" s="1"/>
  <c r="CP255" i="1" s="1"/>
  <c r="O255" i="1" s="1"/>
  <c r="GM255" i="1" s="1"/>
  <c r="GP255" i="1" s="1"/>
  <c r="CS255" i="1"/>
  <c r="R255" i="1" s="1"/>
  <c r="GK255" i="1" s="1"/>
  <c r="AD255" i="1"/>
  <c r="AB255" i="1" s="1"/>
  <c r="F358" i="1"/>
  <c r="CR313" i="1"/>
  <c r="Q313" i="1" s="1"/>
  <c r="CP313" i="1" s="1"/>
  <c r="O313" i="1" s="1"/>
  <c r="AD313" i="1"/>
  <c r="AB313" i="1" s="1"/>
  <c r="CP312" i="1"/>
  <c r="O312" i="1" s="1"/>
  <c r="AI319" i="1"/>
  <c r="CC231" i="1"/>
  <c r="AT262" i="1"/>
  <c r="CY239" i="1"/>
  <c r="X239" i="1" s="1"/>
  <c r="CZ239" i="1"/>
  <c r="Y239" i="1" s="1"/>
  <c r="CS432" i="1"/>
  <c r="R432" i="1" s="1"/>
  <c r="GK432" i="1" s="1"/>
  <c r="AB431" i="1"/>
  <c r="AH397" i="1"/>
  <c r="R353" i="1"/>
  <c r="GK353" i="1" s="1"/>
  <c r="AD351" i="1"/>
  <c r="AB434" i="1"/>
  <c r="CR432" i="1"/>
  <c r="Q432" i="1" s="1"/>
  <c r="F410" i="1"/>
  <c r="F384" i="1"/>
  <c r="BA356" i="1"/>
  <c r="AF351" i="1"/>
  <c r="S356" i="1"/>
  <c r="CR316" i="1"/>
  <c r="Q316" i="1" s="1"/>
  <c r="CS316" i="1"/>
  <c r="AD316" i="1"/>
  <c r="AB316" i="1" s="1"/>
  <c r="CY303" i="1"/>
  <c r="X303" i="1" s="1"/>
  <c r="CZ303" i="1"/>
  <c r="Y303" i="1" s="1"/>
  <c r="CY254" i="1"/>
  <c r="X254" i="1" s="1"/>
  <c r="CZ254" i="1"/>
  <c r="Y254" i="1" s="1"/>
  <c r="BZ231" i="1"/>
  <c r="AQ262" i="1"/>
  <c r="V353" i="1"/>
  <c r="CQ316" i="1"/>
  <c r="P316" i="1" s="1"/>
  <c r="CY313" i="1"/>
  <c r="X313" i="1" s="1"/>
  <c r="CZ313" i="1"/>
  <c r="Y313" i="1" s="1"/>
  <c r="CS435" i="1"/>
  <c r="F381" i="1"/>
  <c r="CB298" i="1"/>
  <c r="AS319" i="1"/>
  <c r="CY310" i="1"/>
  <c r="X310" i="1" s="1"/>
  <c r="CZ310" i="1"/>
  <c r="Y310" i="1" s="1"/>
  <c r="CT305" i="1"/>
  <c r="S305" i="1" s="1"/>
  <c r="CP305" i="1" s="1"/>
  <c r="O305" i="1" s="1"/>
  <c r="AB305" i="1"/>
  <c r="AB303" i="1"/>
  <c r="CQ303" i="1"/>
  <c r="P303" i="1" s="1"/>
  <c r="CP303" i="1" s="1"/>
  <c r="O303" i="1" s="1"/>
  <c r="CS302" i="1"/>
  <c r="R302" i="1" s="1"/>
  <c r="GK302" i="1" s="1"/>
  <c r="GM301" i="1"/>
  <c r="GP301" i="1" s="1"/>
  <c r="BZ109" i="1"/>
  <c r="AQ169" i="1"/>
  <c r="BD451" i="1"/>
  <c r="BZ397" i="1"/>
  <c r="P351" i="1"/>
  <c r="F359" i="1"/>
  <c r="GX353" i="1"/>
  <c r="T353" i="1"/>
  <c r="CZ250" i="1"/>
  <c r="Y250" i="1" s="1"/>
  <c r="W439" i="1"/>
  <c r="CS431" i="1"/>
  <c r="CH356" i="1"/>
  <c r="S353" i="1"/>
  <c r="F332" i="1"/>
  <c r="CY307" i="1"/>
  <c r="X307" i="1" s="1"/>
  <c r="CZ307" i="1"/>
  <c r="Y307" i="1" s="1"/>
  <c r="CJ319" i="1"/>
  <c r="BC608" i="1"/>
  <c r="F372" i="1"/>
  <c r="CG356" i="1"/>
  <c r="CS354" i="1"/>
  <c r="R354" i="1" s="1"/>
  <c r="GK354" i="1" s="1"/>
  <c r="AD354" i="1"/>
  <c r="AB354" i="1" s="1"/>
  <c r="Q353" i="1"/>
  <c r="CP310" i="1"/>
  <c r="O310" i="1" s="1"/>
  <c r="CQ154" i="1"/>
  <c r="P154" i="1" s="1"/>
  <c r="CP154" i="1" s="1"/>
  <c r="O154" i="1" s="1"/>
  <c r="BX298" i="1"/>
  <c r="CY244" i="1"/>
  <c r="X244" i="1" s="1"/>
  <c r="CZ244" i="1"/>
  <c r="Y244" i="1" s="1"/>
  <c r="CP239" i="1"/>
  <c r="O239" i="1" s="1"/>
  <c r="CJ262" i="1"/>
  <c r="AF262" i="1"/>
  <c r="CY235" i="1"/>
  <c r="X235" i="1" s="1"/>
  <c r="CZ235" i="1"/>
  <c r="Y235" i="1" s="1"/>
  <c r="CY164" i="1"/>
  <c r="X164" i="1" s="1"/>
  <c r="CZ164" i="1"/>
  <c r="Y164" i="1" s="1"/>
  <c r="AB306" i="1"/>
  <c r="CY301" i="1"/>
  <c r="X301" i="1" s="1"/>
  <c r="CZ301" i="1"/>
  <c r="Y301" i="1" s="1"/>
  <c r="CR300" i="1"/>
  <c r="Q300" i="1" s="1"/>
  <c r="CS300" i="1"/>
  <c r="AD300" i="1"/>
  <c r="AB300" i="1" s="1"/>
  <c r="CY240" i="1"/>
  <c r="X240" i="1" s="1"/>
  <c r="CZ240" i="1"/>
  <c r="Y240" i="1" s="1"/>
  <c r="CY237" i="1"/>
  <c r="X237" i="1" s="1"/>
  <c r="CZ237" i="1"/>
  <c r="Y237" i="1" s="1"/>
  <c r="CC109" i="1"/>
  <c r="AT169" i="1"/>
  <c r="AH319" i="1"/>
  <c r="CP236" i="1"/>
  <c r="O236" i="1" s="1"/>
  <c r="CY259" i="1"/>
  <c r="X259" i="1" s="1"/>
  <c r="CY256" i="1"/>
  <c r="X256" i="1" s="1"/>
  <c r="CZ256" i="1"/>
  <c r="Y256" i="1" s="1"/>
  <c r="AS231" i="1"/>
  <c r="F279" i="1"/>
  <c r="CB109" i="1"/>
  <c r="AS169" i="1"/>
  <c r="BZ319" i="1"/>
  <c r="V262" i="1"/>
  <c r="AI231" i="1"/>
  <c r="CP256" i="1"/>
  <c r="O256" i="1" s="1"/>
  <c r="GM256" i="1" s="1"/>
  <c r="GP256" i="1" s="1"/>
  <c r="BX109" i="1"/>
  <c r="CG169" i="1"/>
  <c r="AO169" i="1"/>
  <c r="CY166" i="1"/>
  <c r="X166" i="1" s="1"/>
  <c r="CZ166" i="1"/>
  <c r="Y166" i="1" s="1"/>
  <c r="CY151" i="1"/>
  <c r="X151" i="1" s="1"/>
  <c r="CZ151" i="1"/>
  <c r="Y151" i="1" s="1"/>
  <c r="AG319" i="1"/>
  <c r="V252" i="1"/>
  <c r="CY248" i="1"/>
  <c r="X248" i="1" s="1"/>
  <c r="CI262" i="1"/>
  <c r="BY231" i="1"/>
  <c r="AP262" i="1"/>
  <c r="BD109" i="1"/>
  <c r="F194" i="1"/>
  <c r="CZ167" i="1"/>
  <c r="Y167" i="1" s="1"/>
  <c r="CY167" i="1"/>
  <c r="X167" i="1" s="1"/>
  <c r="AD148" i="1"/>
  <c r="AB148" i="1" s="1"/>
  <c r="CR148" i="1"/>
  <c r="Q148" i="1" s="1"/>
  <c r="CS148" i="1"/>
  <c r="R148" i="1" s="1"/>
  <c r="GK148" i="1" s="1"/>
  <c r="AD311" i="1"/>
  <c r="AB311" i="1" s="1"/>
  <c r="CR311" i="1"/>
  <c r="Q311" i="1" s="1"/>
  <c r="CP311" i="1" s="1"/>
  <c r="O311" i="1" s="1"/>
  <c r="CY302" i="1"/>
  <c r="X302" i="1" s="1"/>
  <c r="CZ302" i="1"/>
  <c r="Y302" i="1" s="1"/>
  <c r="CZ300" i="1"/>
  <c r="Y300" i="1" s="1"/>
  <c r="CY251" i="1"/>
  <c r="X251" i="1" s="1"/>
  <c r="CZ251" i="1"/>
  <c r="Y251" i="1" s="1"/>
  <c r="AD301" i="1"/>
  <c r="AB301" i="1" s="1"/>
  <c r="CS301" i="1"/>
  <c r="R301" i="1" s="1"/>
  <c r="GK301" i="1" s="1"/>
  <c r="CY260" i="1"/>
  <c r="X260" i="1" s="1"/>
  <c r="CZ260" i="1"/>
  <c r="Y260" i="1" s="1"/>
  <c r="CP260" i="1"/>
  <c r="O260" i="1" s="1"/>
  <c r="GM260" i="1" s="1"/>
  <c r="GP260" i="1" s="1"/>
  <c r="CQ253" i="1"/>
  <c r="P253" i="1" s="1"/>
  <c r="BY109" i="1"/>
  <c r="CI169" i="1"/>
  <c r="AP169" i="1"/>
  <c r="CZ117" i="1"/>
  <c r="Y117" i="1" s="1"/>
  <c r="CY117" i="1"/>
  <c r="X117" i="1" s="1"/>
  <c r="AD312" i="1"/>
  <c r="AB312" i="1" s="1"/>
  <c r="CP250" i="1"/>
  <c r="O250" i="1" s="1"/>
  <c r="CY246" i="1"/>
  <c r="X246" i="1" s="1"/>
  <c r="CY242" i="1"/>
  <c r="X242" i="1" s="1"/>
  <c r="CS315" i="1"/>
  <c r="R315" i="1" s="1"/>
  <c r="GK315" i="1" s="1"/>
  <c r="U259" i="1"/>
  <c r="T252" i="1"/>
  <c r="CP248" i="1"/>
  <c r="O248" i="1" s="1"/>
  <c r="GM167" i="1"/>
  <c r="GP167" i="1" s="1"/>
  <c r="AD151" i="1"/>
  <c r="AB151" i="1" s="1"/>
  <c r="CR151" i="1"/>
  <c r="Q151" i="1" s="1"/>
  <c r="CS151" i="1"/>
  <c r="CP315" i="1"/>
  <c r="O315" i="1" s="1"/>
  <c r="CS309" i="1"/>
  <c r="R309" i="1" s="1"/>
  <c r="GK309" i="1" s="1"/>
  <c r="CP304" i="1"/>
  <c r="O304" i="1" s="1"/>
  <c r="CQ300" i="1"/>
  <c r="P300" i="1" s="1"/>
  <c r="CG262" i="1"/>
  <c r="AO262" i="1"/>
  <c r="BX231" i="1"/>
  <c r="T259" i="1"/>
  <c r="CZ258" i="1"/>
  <c r="Y258" i="1" s="1"/>
  <c r="CP244" i="1"/>
  <c r="O244" i="1" s="1"/>
  <c r="AG262" i="1"/>
  <c r="AD166" i="1"/>
  <c r="AB166" i="1" s="1"/>
  <c r="CS166" i="1"/>
  <c r="R166" i="1" s="1"/>
  <c r="GK166" i="1" s="1"/>
  <c r="BC451" i="1"/>
  <c r="BD262" i="1"/>
  <c r="CY253" i="1"/>
  <c r="X253" i="1" s="1"/>
  <c r="R252" i="1"/>
  <c r="GK252" i="1" s="1"/>
  <c r="AD247" i="1"/>
  <c r="AB247" i="1" s="1"/>
  <c r="CR247" i="1"/>
  <c r="Q247" i="1" s="1"/>
  <c r="CP247" i="1" s="1"/>
  <c r="O247" i="1" s="1"/>
  <c r="CS247" i="1"/>
  <c r="R247" i="1" s="1"/>
  <c r="GK247" i="1" s="1"/>
  <c r="CB231" i="1"/>
  <c r="CR252" i="1"/>
  <c r="Q252" i="1" s="1"/>
  <c r="U251" i="1"/>
  <c r="CP245" i="1"/>
  <c r="O245" i="1" s="1"/>
  <c r="CR235" i="1"/>
  <c r="Q235" i="1" s="1"/>
  <c r="CS235" i="1"/>
  <c r="CY234" i="1"/>
  <c r="X234" i="1" s="1"/>
  <c r="GM234" i="1" s="1"/>
  <c r="GP234" i="1" s="1"/>
  <c r="GM74" i="1"/>
  <c r="GP74" i="1" s="1"/>
  <c r="R257" i="1"/>
  <c r="GK257" i="1" s="1"/>
  <c r="CR253" i="1"/>
  <c r="Q253" i="1" s="1"/>
  <c r="W252" i="1"/>
  <c r="CZ245" i="1"/>
  <c r="Y245" i="1" s="1"/>
  <c r="CR240" i="1"/>
  <c r="Q240" i="1" s="1"/>
  <c r="CS240" i="1"/>
  <c r="R240" i="1" s="1"/>
  <c r="GK240" i="1" s="1"/>
  <c r="CQ161" i="1"/>
  <c r="P161" i="1" s="1"/>
  <c r="CR157" i="1"/>
  <c r="Q157" i="1" s="1"/>
  <c r="CS157" i="1"/>
  <c r="AD157" i="1"/>
  <c r="AB157" i="1" s="1"/>
  <c r="CZ141" i="1"/>
  <c r="Y141" i="1" s="1"/>
  <c r="CY141" i="1"/>
  <c r="X141" i="1" s="1"/>
  <c r="CP141" i="1"/>
  <c r="O141" i="1" s="1"/>
  <c r="AB302" i="1"/>
  <c r="AB259" i="1"/>
  <c r="Q257" i="1"/>
  <c r="R251" i="1"/>
  <c r="GK251" i="1" s="1"/>
  <c r="CP238" i="1"/>
  <c r="O238" i="1" s="1"/>
  <c r="GM238" i="1" s="1"/>
  <c r="GP238" i="1" s="1"/>
  <c r="CR258" i="1"/>
  <c r="Q258" i="1" s="1"/>
  <c r="CP258" i="1" s="1"/>
  <c r="O258" i="1" s="1"/>
  <c r="CS258" i="1"/>
  <c r="R258" i="1" s="1"/>
  <c r="GK258" i="1" s="1"/>
  <c r="U252" i="1"/>
  <c r="CP243" i="1"/>
  <c r="O243" i="1" s="1"/>
  <c r="CQ240" i="1"/>
  <c r="P240" i="1" s="1"/>
  <c r="AB240" i="1"/>
  <c r="CR237" i="1"/>
  <c r="Q237" i="1" s="1"/>
  <c r="CP237" i="1" s="1"/>
  <c r="O237" i="1" s="1"/>
  <c r="CS237" i="1"/>
  <c r="R237" i="1" s="1"/>
  <c r="GK237" i="1" s="1"/>
  <c r="AD237" i="1"/>
  <c r="AB237" i="1" s="1"/>
  <c r="AB258" i="1"/>
  <c r="CR254" i="1"/>
  <c r="Q254" i="1" s="1"/>
  <c r="CP254" i="1" s="1"/>
  <c r="O254" i="1" s="1"/>
  <c r="CS254" i="1"/>
  <c r="R254" i="1" s="1"/>
  <c r="GK254" i="1" s="1"/>
  <c r="CY156" i="1"/>
  <c r="X156" i="1" s="1"/>
  <c r="CZ156" i="1"/>
  <c r="Y156" i="1" s="1"/>
  <c r="AD150" i="1"/>
  <c r="AB150" i="1" s="1"/>
  <c r="CR150" i="1"/>
  <c r="Q150" i="1" s="1"/>
  <c r="CS150" i="1"/>
  <c r="R150" i="1" s="1"/>
  <c r="GK150" i="1" s="1"/>
  <c r="CS310" i="1"/>
  <c r="R310" i="1" s="1"/>
  <c r="GK310" i="1" s="1"/>
  <c r="CQ252" i="1"/>
  <c r="P252" i="1" s="1"/>
  <c r="CP252" i="1" s="1"/>
  <c r="O252" i="1" s="1"/>
  <c r="AB252" i="1"/>
  <c r="CY136" i="1"/>
  <c r="X136" i="1" s="1"/>
  <c r="CZ136" i="1"/>
  <c r="Y136" i="1" s="1"/>
  <c r="CR119" i="1"/>
  <c r="Q119" i="1" s="1"/>
  <c r="CS119" i="1"/>
  <c r="AD119" i="1"/>
  <c r="AB119" i="1" s="1"/>
  <c r="CQ302" i="1"/>
  <c r="P302" i="1" s="1"/>
  <c r="CQ259" i="1"/>
  <c r="P259" i="1" s="1"/>
  <c r="CP259" i="1" s="1"/>
  <c r="O259" i="1" s="1"/>
  <c r="AB254" i="1"/>
  <c r="Q251" i="1"/>
  <c r="CP251" i="1" s="1"/>
  <c r="O251" i="1" s="1"/>
  <c r="CR242" i="1"/>
  <c r="Q242" i="1" s="1"/>
  <c r="CP242" i="1" s="1"/>
  <c r="O242" i="1" s="1"/>
  <c r="CS242" i="1"/>
  <c r="R242" i="1" s="1"/>
  <c r="GK242" i="1" s="1"/>
  <c r="AD242" i="1"/>
  <c r="AB242" i="1" s="1"/>
  <c r="CS238" i="1"/>
  <c r="R238" i="1" s="1"/>
  <c r="GK238" i="1" s="1"/>
  <c r="CR238" i="1"/>
  <c r="Q238" i="1" s="1"/>
  <c r="CY160" i="1"/>
  <c r="X160" i="1" s="1"/>
  <c r="CZ160" i="1"/>
  <c r="Y160" i="1" s="1"/>
  <c r="CZ159" i="1"/>
  <c r="Y159" i="1" s="1"/>
  <c r="U153" i="1"/>
  <c r="CR143" i="1"/>
  <c r="Q143" i="1" s="1"/>
  <c r="CS143" i="1"/>
  <c r="AD143" i="1"/>
  <c r="AB143" i="1" s="1"/>
  <c r="CY128" i="1"/>
  <c r="X128" i="1" s="1"/>
  <c r="CZ128" i="1"/>
  <c r="Y128" i="1" s="1"/>
  <c r="CQ160" i="1"/>
  <c r="P160" i="1" s="1"/>
  <c r="AP72" i="1"/>
  <c r="F86" i="1"/>
  <c r="AB250" i="1"/>
  <c r="AH262" i="1"/>
  <c r="AB233" i="1"/>
  <c r="CQ233" i="1"/>
  <c r="P233" i="1" s="1"/>
  <c r="CP233" i="1" s="1"/>
  <c r="O233" i="1" s="1"/>
  <c r="GM233" i="1" s="1"/>
  <c r="GP233" i="1" s="1"/>
  <c r="S165" i="1"/>
  <c r="CS161" i="1"/>
  <c r="CR161" i="1"/>
  <c r="Q161" i="1" s="1"/>
  <c r="CZ150" i="1"/>
  <c r="Y150" i="1" s="1"/>
  <c r="CY150" i="1"/>
  <c r="X150" i="1" s="1"/>
  <c r="T153" i="1"/>
  <c r="CQ116" i="1"/>
  <c r="P116" i="1" s="1"/>
  <c r="U165" i="1"/>
  <c r="AD162" i="1"/>
  <c r="AB162" i="1" s="1"/>
  <c r="CR162" i="1"/>
  <c r="Q162" i="1" s="1"/>
  <c r="CP162" i="1" s="1"/>
  <c r="O162" i="1" s="1"/>
  <c r="CP157" i="1"/>
  <c r="O157" i="1" s="1"/>
  <c r="S153" i="1"/>
  <c r="P153" i="1"/>
  <c r="CP144" i="1"/>
  <c r="O144" i="1" s="1"/>
  <c r="CZ133" i="1"/>
  <c r="Y133" i="1" s="1"/>
  <c r="CY133" i="1"/>
  <c r="X133" i="1" s="1"/>
  <c r="CP117" i="1"/>
  <c r="O117" i="1" s="1"/>
  <c r="CY155" i="1"/>
  <c r="X155" i="1" s="1"/>
  <c r="CZ155" i="1"/>
  <c r="Y155" i="1" s="1"/>
  <c r="CY152" i="1"/>
  <c r="X152" i="1" s="1"/>
  <c r="CZ152" i="1"/>
  <c r="Y152" i="1" s="1"/>
  <c r="CY146" i="1"/>
  <c r="X146" i="1" s="1"/>
  <c r="CZ146" i="1"/>
  <c r="Y146" i="1" s="1"/>
  <c r="CP136" i="1"/>
  <c r="O136" i="1" s="1"/>
  <c r="CS133" i="1"/>
  <c r="R133" i="1" s="1"/>
  <c r="GK133" i="1" s="1"/>
  <c r="CR133" i="1"/>
  <c r="Q133" i="1" s="1"/>
  <c r="CP133" i="1" s="1"/>
  <c r="O133" i="1" s="1"/>
  <c r="AD133" i="1"/>
  <c r="AB133" i="1" s="1"/>
  <c r="CR165" i="1"/>
  <c r="Q165" i="1" s="1"/>
  <c r="AD165" i="1"/>
  <c r="AB165" i="1" s="1"/>
  <c r="CP164" i="1"/>
  <c r="O164" i="1" s="1"/>
  <c r="W160" i="1"/>
  <c r="CR146" i="1"/>
  <c r="Q146" i="1" s="1"/>
  <c r="CP146" i="1" s="1"/>
  <c r="O146" i="1" s="1"/>
  <c r="AD146" i="1"/>
  <c r="AB146" i="1" s="1"/>
  <c r="CS146" i="1"/>
  <c r="CY123" i="1"/>
  <c r="X123" i="1" s="1"/>
  <c r="CZ123" i="1"/>
  <c r="Y123" i="1" s="1"/>
  <c r="AB244" i="1"/>
  <c r="CP166" i="1"/>
  <c r="O166" i="1" s="1"/>
  <c r="U160" i="1"/>
  <c r="CZ157" i="1"/>
  <c r="Y157" i="1" s="1"/>
  <c r="CY140" i="1"/>
  <c r="X140" i="1" s="1"/>
  <c r="CZ140" i="1"/>
  <c r="Y140" i="1" s="1"/>
  <c r="T160" i="1"/>
  <c r="GX153" i="1"/>
  <c r="CQ123" i="1"/>
  <c r="P123" i="1" s="1"/>
  <c r="AB123" i="1"/>
  <c r="CP122" i="1"/>
  <c r="O122" i="1" s="1"/>
  <c r="GM122" i="1" s="1"/>
  <c r="GN122" i="1" s="1"/>
  <c r="AD246" i="1"/>
  <c r="AB246" i="1" s="1"/>
  <c r="AB167" i="1"/>
  <c r="AD158" i="1"/>
  <c r="AB158" i="1" s="1"/>
  <c r="CS152" i="1"/>
  <c r="P150" i="1"/>
  <c r="CP150" i="1" s="1"/>
  <c r="O150" i="1" s="1"/>
  <c r="GM150" i="1" s="1"/>
  <c r="GP150" i="1" s="1"/>
  <c r="CS144" i="1"/>
  <c r="CR144" i="1"/>
  <c r="Q144" i="1" s="1"/>
  <c r="AD144" i="1"/>
  <c r="AB144" i="1" s="1"/>
  <c r="CY74" i="1"/>
  <c r="X74" i="1" s="1"/>
  <c r="CZ74" i="1"/>
  <c r="Y74" i="1" s="1"/>
  <c r="AB236" i="1"/>
  <c r="CQ158" i="1"/>
  <c r="P158" i="1" s="1"/>
  <c r="CR152" i="1"/>
  <c r="Q152" i="1" s="1"/>
  <c r="CP152" i="1" s="1"/>
  <c r="O152" i="1" s="1"/>
  <c r="CZ127" i="1"/>
  <c r="Y127" i="1" s="1"/>
  <c r="CP132" i="1"/>
  <c r="O132" i="1" s="1"/>
  <c r="GM132" i="1" s="1"/>
  <c r="GN132" i="1" s="1"/>
  <c r="CP119" i="1"/>
  <c r="O119" i="1" s="1"/>
  <c r="CQ121" i="1"/>
  <c r="P121" i="1" s="1"/>
  <c r="AB121" i="1"/>
  <c r="CP149" i="1"/>
  <c r="O149" i="1" s="1"/>
  <c r="GM149" i="1" s="1"/>
  <c r="GN149" i="1" s="1"/>
  <c r="AD129" i="1"/>
  <c r="AB129" i="1" s="1"/>
  <c r="CR129" i="1"/>
  <c r="Q129" i="1" s="1"/>
  <c r="W119" i="1"/>
  <c r="CY135" i="1"/>
  <c r="X135" i="1" s="1"/>
  <c r="CZ135" i="1"/>
  <c r="Y135" i="1" s="1"/>
  <c r="CY134" i="1"/>
  <c r="X134" i="1" s="1"/>
  <c r="CZ134" i="1"/>
  <c r="Y134" i="1" s="1"/>
  <c r="AB136" i="1"/>
  <c r="V123" i="1"/>
  <c r="T119" i="1"/>
  <c r="AT77" i="1"/>
  <c r="CC72" i="1"/>
  <c r="W77" i="1"/>
  <c r="AJ72" i="1"/>
  <c r="CG36" i="1"/>
  <c r="BZ26" i="1"/>
  <c r="AQ36" i="1"/>
  <c r="CR155" i="1"/>
  <c r="Q155" i="1" s="1"/>
  <c r="CP155" i="1" s="1"/>
  <c r="O155" i="1" s="1"/>
  <c r="CS155" i="1"/>
  <c r="AD155" i="1"/>
  <c r="AB155" i="1" s="1"/>
  <c r="CS153" i="1"/>
  <c r="AB152" i="1"/>
  <c r="CR139" i="1"/>
  <c r="Q139" i="1" s="1"/>
  <c r="CS139" i="1"/>
  <c r="R139" i="1" s="1"/>
  <c r="GK139" i="1" s="1"/>
  <c r="CY138" i="1"/>
  <c r="X138" i="1" s="1"/>
  <c r="CZ138" i="1"/>
  <c r="Y138" i="1" s="1"/>
  <c r="CZ124" i="1"/>
  <c r="Y124" i="1" s="1"/>
  <c r="CY124" i="1"/>
  <c r="X124" i="1" s="1"/>
  <c r="AS77" i="1"/>
  <c r="CB72" i="1"/>
  <c r="CR153" i="1"/>
  <c r="Q153" i="1" s="1"/>
  <c r="CQ143" i="1"/>
  <c r="P143" i="1" s="1"/>
  <c r="AD139" i="1"/>
  <c r="AB139" i="1" s="1"/>
  <c r="R123" i="1"/>
  <c r="GK123" i="1" s="1"/>
  <c r="V119" i="1"/>
  <c r="CS142" i="1"/>
  <c r="CR142" i="1"/>
  <c r="Q142" i="1" s="1"/>
  <c r="CP142" i="1" s="1"/>
  <c r="O142" i="1" s="1"/>
  <c r="CQ139" i="1"/>
  <c r="P139" i="1" s="1"/>
  <c r="V36" i="1"/>
  <c r="AI26" i="1"/>
  <c r="GX160" i="1"/>
  <c r="R154" i="1"/>
  <c r="GK154" i="1" s="1"/>
  <c r="CP148" i="1"/>
  <c r="O148" i="1" s="1"/>
  <c r="AD142" i="1"/>
  <c r="AB142" i="1" s="1"/>
  <c r="CP138" i="1"/>
  <c r="O138" i="1" s="1"/>
  <c r="CP124" i="1"/>
  <c r="O124" i="1" s="1"/>
  <c r="CS156" i="1"/>
  <c r="R156" i="1" s="1"/>
  <c r="GK156" i="1" s="1"/>
  <c r="AD154" i="1"/>
  <c r="AB154" i="1" s="1"/>
  <c r="GX126" i="1"/>
  <c r="P126" i="1"/>
  <c r="CQ112" i="1"/>
  <c r="P112" i="1" s="1"/>
  <c r="AB112" i="1"/>
  <c r="W126" i="1"/>
  <c r="AJ169" i="1" s="1"/>
  <c r="U119" i="1"/>
  <c r="CI36" i="1"/>
  <c r="BY26" i="1"/>
  <c r="P30" i="1"/>
  <c r="U126" i="1"/>
  <c r="BB26" i="1"/>
  <c r="F49" i="1"/>
  <c r="AD33" i="1"/>
  <c r="AB33" i="1" s="1"/>
  <c r="CB36" i="1"/>
  <c r="AD134" i="1"/>
  <c r="AB134" i="1" s="1"/>
  <c r="CR134" i="1"/>
  <c r="Q134" i="1" s="1"/>
  <c r="CP134" i="1" s="1"/>
  <c r="O134" i="1" s="1"/>
  <c r="CS134" i="1"/>
  <c r="GX119" i="1"/>
  <c r="CR75" i="1"/>
  <c r="Q75" i="1" s="1"/>
  <c r="CS75" i="1"/>
  <c r="T30" i="1"/>
  <c r="AB149" i="1"/>
  <c r="AB140" i="1"/>
  <c r="CS137" i="1"/>
  <c r="Q128" i="1"/>
  <c r="CR121" i="1"/>
  <c r="Q121" i="1" s="1"/>
  <c r="CS121" i="1"/>
  <c r="R121" i="1" s="1"/>
  <c r="GK121" i="1" s="1"/>
  <c r="AD75" i="1"/>
  <c r="AB75" i="1" s="1"/>
  <c r="CZ31" i="1"/>
  <c r="Y31" i="1" s="1"/>
  <c r="CY31" i="1"/>
  <c r="X31" i="1" s="1"/>
  <c r="S119" i="1"/>
  <c r="CR114" i="1"/>
  <c r="Q114" i="1" s="1"/>
  <c r="CS114" i="1"/>
  <c r="CQ75" i="1"/>
  <c r="P75" i="1" s="1"/>
  <c r="AP36" i="1"/>
  <c r="Q123" i="1"/>
  <c r="AB114" i="1"/>
  <c r="CQ114" i="1"/>
  <c r="P114" i="1" s="1"/>
  <c r="CY34" i="1"/>
  <c r="X34" i="1" s="1"/>
  <c r="GM34" i="1" s="1"/>
  <c r="GP34" i="1" s="1"/>
  <c r="V30" i="1"/>
  <c r="BB169" i="1"/>
  <c r="CR126" i="1"/>
  <c r="Q126" i="1" s="1"/>
  <c r="CS126" i="1"/>
  <c r="CS116" i="1"/>
  <c r="AD116" i="1"/>
  <c r="AB116" i="1" s="1"/>
  <c r="CR116" i="1"/>
  <c r="Q116" i="1" s="1"/>
  <c r="CR113" i="1"/>
  <c r="Q113" i="1" s="1"/>
  <c r="CZ75" i="1"/>
  <c r="Y75" i="1" s="1"/>
  <c r="BA72" i="1"/>
  <c r="CL26" i="1"/>
  <c r="BC36" i="1"/>
  <c r="CS140" i="1"/>
  <c r="BY72" i="1"/>
  <c r="CI77" i="1"/>
  <c r="CY75" i="1"/>
  <c r="X75" i="1" s="1"/>
  <c r="CS33" i="1"/>
  <c r="S30" i="1"/>
  <c r="CR140" i="1"/>
  <c r="Q140" i="1" s="1"/>
  <c r="AB132" i="1"/>
  <c r="CZ114" i="1"/>
  <c r="Y114" i="1" s="1"/>
  <c r="BX72" i="1"/>
  <c r="CG77" i="1"/>
  <c r="CJ26" i="1"/>
  <c r="BA36" i="1"/>
  <c r="CP33" i="1"/>
  <c r="O33" i="1" s="1"/>
  <c r="T36" i="1"/>
  <c r="AG26" i="1"/>
  <c r="P128" i="1"/>
  <c r="CP128" i="1" s="1"/>
  <c r="O128" i="1" s="1"/>
  <c r="CY125" i="1"/>
  <c r="X125" i="1" s="1"/>
  <c r="F87" i="1"/>
  <c r="BD77" i="1"/>
  <c r="F61" i="1"/>
  <c r="GX30" i="1"/>
  <c r="U133" i="1"/>
  <c r="CP131" i="1"/>
  <c r="O131" i="1" s="1"/>
  <c r="CY120" i="1"/>
  <c r="X120" i="1" s="1"/>
  <c r="CZ120" i="1"/>
  <c r="Y120" i="1" s="1"/>
  <c r="CY115" i="1"/>
  <c r="X115" i="1" s="1"/>
  <c r="CZ115" i="1"/>
  <c r="Y115" i="1" s="1"/>
  <c r="BB72" i="1"/>
  <c r="F90" i="1"/>
  <c r="T75" i="1"/>
  <c r="AG77" i="1" s="1"/>
  <c r="CR32" i="1"/>
  <c r="Q32" i="1" s="1"/>
  <c r="CS32" i="1"/>
  <c r="CY131" i="1"/>
  <c r="X131" i="1" s="1"/>
  <c r="AB131" i="1"/>
  <c r="AB124" i="1"/>
  <c r="CJ72" i="1"/>
  <c r="AD32" i="1"/>
  <c r="AB32" i="1" s="1"/>
  <c r="U30" i="1"/>
  <c r="BC77" i="1"/>
  <c r="S29" i="1"/>
  <c r="Q29" i="1"/>
  <c r="CP29" i="1" s="1"/>
  <c r="O29" i="1" s="1"/>
  <c r="CQ113" i="1"/>
  <c r="P113" i="1" s="1"/>
  <c r="AB113" i="1"/>
  <c r="W33" i="1"/>
  <c r="AJ36" i="1" s="1"/>
  <c r="AD29" i="1"/>
  <c r="AB29" i="1" s="1"/>
  <c r="CP32" i="1"/>
  <c r="O32" i="1" s="1"/>
  <c r="AC36" i="1"/>
  <c r="AD74" i="1"/>
  <c r="AB74" i="1" s="1"/>
  <c r="U33" i="1"/>
  <c r="AB122" i="1"/>
  <c r="AB120" i="1"/>
  <c r="CS30" i="1"/>
  <c r="R30" i="1" s="1"/>
  <c r="GK30" i="1" s="1"/>
  <c r="CY28" i="1"/>
  <c r="X28" i="1" s="1"/>
  <c r="R409" i="7" l="1"/>
  <c r="J412" i="7" s="1"/>
  <c r="R415" i="8"/>
  <c r="K418" i="8" s="1"/>
  <c r="R146" i="7"/>
  <c r="R152" i="8"/>
  <c r="R565" i="7"/>
  <c r="J567" i="7" s="1"/>
  <c r="R571" i="8"/>
  <c r="K573" i="8" s="1"/>
  <c r="J141" i="7"/>
  <c r="K147" i="8"/>
  <c r="R523" i="7"/>
  <c r="J527" i="7" s="1"/>
  <c r="R529" i="8"/>
  <c r="K533" i="8" s="1"/>
  <c r="U656" i="1"/>
  <c r="AH640" i="1"/>
  <c r="T80" i="7"/>
  <c r="J84" i="7" s="1"/>
  <c r="T86" i="8"/>
  <c r="K90" i="8" s="1"/>
  <c r="R649" i="7"/>
  <c r="J651" i="7" s="1"/>
  <c r="R655" i="8"/>
  <c r="K657" i="8" s="1"/>
  <c r="CJ640" i="1"/>
  <c r="BA656" i="1"/>
  <c r="GM440" i="1"/>
  <c r="GP440" i="1" s="1"/>
  <c r="T708" i="7"/>
  <c r="J712" i="7" s="1"/>
  <c r="T714" i="8"/>
  <c r="K718" i="8" s="1"/>
  <c r="J307" i="7"/>
  <c r="K313" i="8"/>
  <c r="F379" i="1"/>
  <c r="V351" i="1"/>
  <c r="J586" i="7"/>
  <c r="K592" i="8"/>
  <c r="T201" i="7"/>
  <c r="J207" i="7" s="1"/>
  <c r="T207" i="8"/>
  <c r="K213" i="8" s="1"/>
  <c r="T211" i="7"/>
  <c r="J215" i="7" s="1"/>
  <c r="T217" i="8"/>
  <c r="K221" i="8" s="1"/>
  <c r="R371" i="7"/>
  <c r="J374" i="7" s="1"/>
  <c r="R377" i="8"/>
  <c r="K380" i="8" s="1"/>
  <c r="R424" i="7"/>
  <c r="J427" i="7" s="1"/>
  <c r="R430" i="8"/>
  <c r="K433" i="8" s="1"/>
  <c r="CY654" i="1"/>
  <c r="X654" i="1" s="1"/>
  <c r="K766" i="8"/>
  <c r="J760" i="7"/>
  <c r="T312" i="7"/>
  <c r="J317" i="7" s="1"/>
  <c r="T318" i="8"/>
  <c r="K323" i="8" s="1"/>
  <c r="GK239" i="1"/>
  <c r="J357" i="7"/>
  <c r="K363" i="8"/>
  <c r="CZ163" i="1"/>
  <c r="Y163" i="1" s="1"/>
  <c r="J331" i="7"/>
  <c r="K337" i="8"/>
  <c r="CY163" i="1"/>
  <c r="X163" i="1" s="1"/>
  <c r="T610" i="7"/>
  <c r="J614" i="7" s="1"/>
  <c r="T616" i="8"/>
  <c r="K620" i="8" s="1"/>
  <c r="GM138" i="1"/>
  <c r="GP138" i="1" s="1"/>
  <c r="T288" i="7"/>
  <c r="J294" i="7" s="1"/>
  <c r="T294" i="8"/>
  <c r="K300" i="8" s="1"/>
  <c r="R157" i="1"/>
  <c r="V294" i="8"/>
  <c r="K301" i="8" s="1"/>
  <c r="V288" i="7"/>
  <c r="J295" i="7" s="1"/>
  <c r="R235" i="1"/>
  <c r="V344" i="7"/>
  <c r="J351" i="7" s="1"/>
  <c r="V350" i="8"/>
  <c r="K357" i="8" s="1"/>
  <c r="T344" i="7"/>
  <c r="J350" i="7" s="1"/>
  <c r="T350" i="8"/>
  <c r="K356" i="8" s="1"/>
  <c r="R531" i="7"/>
  <c r="J535" i="7" s="1"/>
  <c r="R537" i="8"/>
  <c r="K541" i="8" s="1"/>
  <c r="T470" i="7"/>
  <c r="J475" i="7" s="1"/>
  <c r="T476" i="8"/>
  <c r="K481" i="8" s="1"/>
  <c r="R446" i="1"/>
  <c r="GK446" i="1" s="1"/>
  <c r="V577" i="8"/>
  <c r="V571" i="7"/>
  <c r="AF319" i="1"/>
  <c r="CP487" i="1"/>
  <c r="O487" i="1" s="1"/>
  <c r="GM487" i="1" s="1"/>
  <c r="GP487" i="1" s="1"/>
  <c r="CP530" i="1"/>
  <c r="O530" i="1" s="1"/>
  <c r="J634" i="7"/>
  <c r="K640" i="8"/>
  <c r="CP651" i="1"/>
  <c r="O651" i="1" s="1"/>
  <c r="AH77" i="1"/>
  <c r="K65" i="7"/>
  <c r="L71" i="8"/>
  <c r="J261" i="7"/>
  <c r="K267" i="8"/>
  <c r="R351" i="1"/>
  <c r="F370" i="1"/>
  <c r="J44" i="7"/>
  <c r="K50" i="8"/>
  <c r="CY33" i="1"/>
  <c r="X33" i="1" s="1"/>
  <c r="CZ33" i="1"/>
  <c r="Y33" i="1" s="1"/>
  <c r="R324" i="7"/>
  <c r="R330" i="8"/>
  <c r="F383" i="1"/>
  <c r="Y351" i="1"/>
  <c r="K492" i="7"/>
  <c r="L498" i="8"/>
  <c r="R141" i="1"/>
  <c r="GK141" i="1" s="1"/>
  <c r="V211" i="7"/>
  <c r="V217" i="8"/>
  <c r="R530" i="1"/>
  <c r="GK530" i="1" s="1"/>
  <c r="V632" i="7"/>
  <c r="V638" i="8"/>
  <c r="J703" i="7"/>
  <c r="K709" i="8"/>
  <c r="T675" i="7"/>
  <c r="J679" i="7" s="1"/>
  <c r="T681" i="8"/>
  <c r="K685" i="8" s="1"/>
  <c r="J669" i="7"/>
  <c r="K675" i="8"/>
  <c r="GM164" i="1"/>
  <c r="GP164" i="1" s="1"/>
  <c r="CY159" i="1"/>
  <c r="X159" i="1" s="1"/>
  <c r="K403" i="8"/>
  <c r="J407" i="8" s="1"/>
  <c r="J397" i="7"/>
  <c r="R617" i="7"/>
  <c r="J621" i="7" s="1"/>
  <c r="R623" i="8"/>
  <c r="K627" i="8" s="1"/>
  <c r="R253" i="1"/>
  <c r="V378" i="7"/>
  <c r="J385" i="7" s="1"/>
  <c r="V384" i="8"/>
  <c r="K391" i="8" s="1"/>
  <c r="T146" i="7"/>
  <c r="T152" i="8"/>
  <c r="R119" i="1"/>
  <c r="GK119" i="1" s="1"/>
  <c r="V117" i="7"/>
  <c r="V123" i="8"/>
  <c r="T531" i="7"/>
  <c r="J536" i="7" s="1"/>
  <c r="T537" i="8"/>
  <c r="K542" i="8" s="1"/>
  <c r="J544" i="8" s="1"/>
  <c r="T320" i="7"/>
  <c r="J326" i="7" s="1"/>
  <c r="T326" i="8"/>
  <c r="J156" i="7"/>
  <c r="K162" i="8"/>
  <c r="R675" i="7"/>
  <c r="J678" i="7" s="1"/>
  <c r="I681" i="7" s="1"/>
  <c r="R681" i="8"/>
  <c r="K684" i="8" s="1"/>
  <c r="R32" i="1"/>
  <c r="V35" i="7"/>
  <c r="V41" i="8"/>
  <c r="J119" i="7"/>
  <c r="K125" i="8"/>
  <c r="R75" i="1"/>
  <c r="V56" i="7"/>
  <c r="J64" i="7" s="1"/>
  <c r="V62" i="8"/>
  <c r="K70" i="8" s="1"/>
  <c r="J102" i="7"/>
  <c r="K108" i="8"/>
  <c r="R312" i="7"/>
  <c r="J316" i="7" s="1"/>
  <c r="R318" i="8"/>
  <c r="K322" i="8" s="1"/>
  <c r="AD36" i="1"/>
  <c r="R140" i="1"/>
  <c r="V201" i="7"/>
  <c r="J208" i="7" s="1"/>
  <c r="V207" i="8"/>
  <c r="K214" i="8" s="1"/>
  <c r="AD77" i="1"/>
  <c r="J59" i="7"/>
  <c r="K65" i="8"/>
  <c r="J72" i="8" s="1"/>
  <c r="R153" i="1"/>
  <c r="GK153" i="1" s="1"/>
  <c r="V266" i="7"/>
  <c r="V272" i="8"/>
  <c r="K318" i="7"/>
  <c r="L324" i="8"/>
  <c r="T179" i="7"/>
  <c r="J184" i="7" s="1"/>
  <c r="T185" i="8"/>
  <c r="K190" i="8" s="1"/>
  <c r="GM254" i="1"/>
  <c r="GP254" i="1" s="1"/>
  <c r="J290" i="7"/>
  <c r="K296" i="8"/>
  <c r="J346" i="7"/>
  <c r="K352" i="8"/>
  <c r="GM315" i="1"/>
  <c r="GP315" i="1" s="1"/>
  <c r="T251" i="7"/>
  <c r="J256" i="7" s="1"/>
  <c r="T257" i="8"/>
  <c r="K262" i="8" s="1"/>
  <c r="AK262" i="1"/>
  <c r="R344" i="7"/>
  <c r="J349" i="7" s="1"/>
  <c r="R350" i="8"/>
  <c r="K355" i="8" s="1"/>
  <c r="GM303" i="1"/>
  <c r="GP303" i="1" s="1"/>
  <c r="CP316" i="1"/>
  <c r="O316" i="1" s="1"/>
  <c r="J439" i="7"/>
  <c r="K445" i="8"/>
  <c r="T354" i="7"/>
  <c r="J360" i="7" s="1"/>
  <c r="T360" i="8"/>
  <c r="K366" i="8" s="1"/>
  <c r="CZ435" i="1"/>
  <c r="Y435" i="1" s="1"/>
  <c r="R470" i="7"/>
  <c r="J474" i="7" s="1"/>
  <c r="R476" i="8"/>
  <c r="K480" i="8" s="1"/>
  <c r="CP526" i="1"/>
  <c r="O526" i="1" s="1"/>
  <c r="J620" i="7"/>
  <c r="K626" i="8"/>
  <c r="T555" i="7"/>
  <c r="J560" i="7" s="1"/>
  <c r="T561" i="8"/>
  <c r="K566" i="8" s="1"/>
  <c r="R651" i="1"/>
  <c r="GK651" i="1" s="1"/>
  <c r="V739" i="7"/>
  <c r="V745" i="8"/>
  <c r="T655" i="7"/>
  <c r="J658" i="7" s="1"/>
  <c r="T661" i="8"/>
  <c r="K664" i="8" s="1"/>
  <c r="T729" i="7"/>
  <c r="J735" i="7" s="1"/>
  <c r="T735" i="8"/>
  <c r="K741" i="8" s="1"/>
  <c r="CY143" i="1"/>
  <c r="X143" i="1" s="1"/>
  <c r="J227" i="7"/>
  <c r="K233" i="8"/>
  <c r="CZ143" i="1"/>
  <c r="Y143" i="1" s="1"/>
  <c r="J133" i="7"/>
  <c r="I138" i="7" s="1"/>
  <c r="K139" i="8"/>
  <c r="CY114" i="1"/>
  <c r="X114" i="1" s="1"/>
  <c r="J88" i="7"/>
  <c r="K94" i="8"/>
  <c r="R136" i="1"/>
  <c r="V179" i="7"/>
  <c r="J185" i="7" s="1"/>
  <c r="V185" i="8"/>
  <c r="K191" i="8" s="1"/>
  <c r="J166" i="7"/>
  <c r="K172" i="8"/>
  <c r="J345" i="7"/>
  <c r="K351" i="8"/>
  <c r="J359" i="8" s="1"/>
  <c r="CZ314" i="1"/>
  <c r="Y314" i="1" s="1"/>
  <c r="GM314" i="1" s="1"/>
  <c r="GP314" i="1" s="1"/>
  <c r="J432" i="7"/>
  <c r="K438" i="8"/>
  <c r="CY314" i="1"/>
  <c r="X314" i="1" s="1"/>
  <c r="F365" i="1"/>
  <c r="AP351" i="1"/>
  <c r="R528" i="1"/>
  <c r="V625" i="7"/>
  <c r="V631" i="8"/>
  <c r="I538" i="7"/>
  <c r="J656" i="7"/>
  <c r="I660" i="7" s="1"/>
  <c r="K662" i="8"/>
  <c r="J666" i="8" s="1"/>
  <c r="CY642" i="1"/>
  <c r="X642" i="1" s="1"/>
  <c r="J688" i="7"/>
  <c r="K694" i="8"/>
  <c r="CZ642" i="1"/>
  <c r="Y642" i="1" s="1"/>
  <c r="R433" i="1"/>
  <c r="GK433" i="1" s="1"/>
  <c r="GM433" i="1" s="1"/>
  <c r="GP433" i="1" s="1"/>
  <c r="V515" i="7"/>
  <c r="V521" i="8"/>
  <c r="T281" i="7"/>
  <c r="J285" i="7" s="1"/>
  <c r="T287" i="8"/>
  <c r="K291" i="8" s="1"/>
  <c r="CZ142" i="1"/>
  <c r="Y142" i="1" s="1"/>
  <c r="J220" i="7"/>
  <c r="K226" i="8"/>
  <c r="CY142" i="1"/>
  <c r="X142" i="1" s="1"/>
  <c r="CY651" i="1"/>
  <c r="X651" i="1" s="1"/>
  <c r="K746" i="8"/>
  <c r="J740" i="7"/>
  <c r="CY605" i="1"/>
  <c r="X605" i="1" s="1"/>
  <c r="T416" i="7"/>
  <c r="J421" i="7" s="1"/>
  <c r="T422" i="8"/>
  <c r="K427" i="8" s="1"/>
  <c r="CP353" i="1"/>
  <c r="O353" i="1" s="1"/>
  <c r="CB600" i="1"/>
  <c r="K310" i="7"/>
  <c r="L316" i="8"/>
  <c r="J148" i="7"/>
  <c r="K154" i="8"/>
  <c r="J687" i="8"/>
  <c r="T324" i="7"/>
  <c r="T330" i="8"/>
  <c r="J410" i="7"/>
  <c r="K416" i="8"/>
  <c r="J36" i="7"/>
  <c r="K42" i="8"/>
  <c r="CY32" i="1"/>
  <c r="X32" i="1" s="1"/>
  <c r="CZ32" i="1"/>
  <c r="Y32" i="1" s="1"/>
  <c r="GM31" i="1"/>
  <c r="GP31" i="1" s="1"/>
  <c r="CJ169" i="1"/>
  <c r="K122" i="7"/>
  <c r="L128" i="8"/>
  <c r="GM148" i="1"/>
  <c r="GP148" i="1" s="1"/>
  <c r="CP143" i="1"/>
  <c r="O143" i="1" s="1"/>
  <c r="J228" i="7"/>
  <c r="K234" i="8"/>
  <c r="CP158" i="1"/>
  <c r="O158" i="1" s="1"/>
  <c r="J300" i="7"/>
  <c r="K306" i="8"/>
  <c r="GM166" i="1"/>
  <c r="GP166" i="1" s="1"/>
  <c r="J315" i="7"/>
  <c r="K321" i="8"/>
  <c r="R179" i="7"/>
  <c r="J183" i="7" s="1"/>
  <c r="R185" i="8"/>
  <c r="K189" i="8" s="1"/>
  <c r="R151" i="1"/>
  <c r="V251" i="7"/>
  <c r="J257" i="7" s="1"/>
  <c r="V257" i="8"/>
  <c r="K263" i="8" s="1"/>
  <c r="R107" i="7"/>
  <c r="J111" i="7" s="1"/>
  <c r="R113" i="8"/>
  <c r="K117" i="8" s="1"/>
  <c r="R251" i="7"/>
  <c r="J255" i="7" s="1"/>
  <c r="I259" i="7" s="1"/>
  <c r="R257" i="8"/>
  <c r="K261" i="8" s="1"/>
  <c r="GM308" i="1"/>
  <c r="GP308" i="1" s="1"/>
  <c r="R354" i="7"/>
  <c r="J359" i="7" s="1"/>
  <c r="R360" i="8"/>
  <c r="K365" i="8" s="1"/>
  <c r="AG397" i="1"/>
  <c r="K548" i="8"/>
  <c r="J542" i="7"/>
  <c r="AD451" i="1"/>
  <c r="R643" i="1"/>
  <c r="GK643" i="1" s="1"/>
  <c r="V693" i="7"/>
  <c r="V699" i="8"/>
  <c r="GM445" i="1"/>
  <c r="GP445" i="1" s="1"/>
  <c r="J599" i="7"/>
  <c r="K605" i="8"/>
  <c r="CZ306" i="1"/>
  <c r="Y306" i="1" s="1"/>
  <c r="R606" i="1"/>
  <c r="GK606" i="1" s="1"/>
  <c r="V675" i="7"/>
  <c r="V681" i="8"/>
  <c r="R555" i="7"/>
  <c r="J559" i="7" s="1"/>
  <c r="R561" i="8"/>
  <c r="K565" i="8" s="1"/>
  <c r="T701" i="7"/>
  <c r="J705" i="7" s="1"/>
  <c r="T707" i="8"/>
  <c r="K711" i="8" s="1"/>
  <c r="R604" i="1"/>
  <c r="GK604" i="1" s="1"/>
  <c r="V661" i="7"/>
  <c r="V667" i="8"/>
  <c r="Q534" i="1"/>
  <c r="R655" i="7"/>
  <c r="J657" i="7" s="1"/>
  <c r="R661" i="8"/>
  <c r="K663" i="8" s="1"/>
  <c r="R735" i="8"/>
  <c r="K740" i="8" s="1"/>
  <c r="R729" i="7"/>
  <c r="J734" i="7" s="1"/>
  <c r="CZ248" i="1"/>
  <c r="Y248" i="1" s="1"/>
  <c r="J372" i="7"/>
  <c r="K378" i="8"/>
  <c r="J109" i="7"/>
  <c r="K115" i="8"/>
  <c r="J120" i="8" s="1"/>
  <c r="CY157" i="1"/>
  <c r="X157" i="1" s="1"/>
  <c r="J289" i="7"/>
  <c r="K295" i="8"/>
  <c r="F54" i="1"/>
  <c r="AT26" i="1"/>
  <c r="J695" i="7"/>
  <c r="K701" i="8"/>
  <c r="CZ253" i="1"/>
  <c r="Y253" i="1" s="1"/>
  <c r="J379" i="7"/>
  <c r="K385" i="8"/>
  <c r="V462" i="7"/>
  <c r="V468" i="8"/>
  <c r="R390" i="1"/>
  <c r="F401" i="1"/>
  <c r="AO388" i="1"/>
  <c r="R603" i="1"/>
  <c r="GK603" i="1" s="1"/>
  <c r="V655" i="7"/>
  <c r="V661" i="8"/>
  <c r="J747" i="7"/>
  <c r="K753" i="8"/>
  <c r="J61" i="7"/>
  <c r="K67" i="8"/>
  <c r="J324" i="7"/>
  <c r="K330" i="8"/>
  <c r="T515" i="7"/>
  <c r="J520" i="7" s="1"/>
  <c r="T521" i="8"/>
  <c r="K526" i="8" s="1"/>
  <c r="T739" i="7"/>
  <c r="J743" i="7" s="1"/>
  <c r="T745" i="8"/>
  <c r="K749" i="8" s="1"/>
  <c r="J464" i="7"/>
  <c r="K470" i="8"/>
  <c r="J731" i="7"/>
  <c r="K737" i="8"/>
  <c r="R126" i="1"/>
  <c r="GK126" i="1" s="1"/>
  <c r="V139" i="7"/>
  <c r="V145" i="8"/>
  <c r="AH169" i="1"/>
  <c r="K144" i="7"/>
  <c r="L150" i="8"/>
  <c r="R152" i="1"/>
  <c r="GK152" i="1" s="1"/>
  <c r="GM152" i="1" s="1"/>
  <c r="GP152" i="1" s="1"/>
  <c r="V260" i="7"/>
  <c r="V266" i="8"/>
  <c r="GM243" i="1"/>
  <c r="GP243" i="1" s="1"/>
  <c r="R431" i="1"/>
  <c r="V507" i="7"/>
  <c r="V513" i="8"/>
  <c r="GM646" i="1"/>
  <c r="GP646" i="1" s="1"/>
  <c r="R708" i="7"/>
  <c r="J711" i="7" s="1"/>
  <c r="R714" i="8"/>
  <c r="K717" i="8" s="1"/>
  <c r="CY447" i="1"/>
  <c r="X447" i="1" s="1"/>
  <c r="J578" i="7"/>
  <c r="K584" i="8"/>
  <c r="CZ447" i="1"/>
  <c r="Y447" i="1" s="1"/>
  <c r="J525" i="7"/>
  <c r="K531" i="8"/>
  <c r="CY116" i="1"/>
  <c r="X116" i="1" s="1"/>
  <c r="J101" i="7"/>
  <c r="K107" i="8"/>
  <c r="CZ116" i="1"/>
  <c r="Y116" i="1" s="1"/>
  <c r="GM246" i="1"/>
  <c r="GP246" i="1" s="1"/>
  <c r="R440" i="1"/>
  <c r="GK440" i="1" s="1"/>
  <c r="V547" i="7"/>
  <c r="V553" i="8"/>
  <c r="J82" i="7"/>
  <c r="K88" i="8"/>
  <c r="CP435" i="1"/>
  <c r="O435" i="1" s="1"/>
  <c r="J425" i="7"/>
  <c r="K431" i="8"/>
  <c r="J436" i="8" s="1"/>
  <c r="T87" i="7"/>
  <c r="J91" i="7" s="1"/>
  <c r="T93" i="8"/>
  <c r="K97" i="8" s="1"/>
  <c r="R134" i="1"/>
  <c r="GK134" i="1" s="1"/>
  <c r="V164" i="7"/>
  <c r="V170" i="8"/>
  <c r="R155" i="1"/>
  <c r="GK155" i="1" s="1"/>
  <c r="V281" i="7"/>
  <c r="V287" i="8"/>
  <c r="T164" i="7"/>
  <c r="J168" i="7" s="1"/>
  <c r="T170" i="8"/>
  <c r="K174" i="8" s="1"/>
  <c r="CY113" i="1"/>
  <c r="X113" i="1" s="1"/>
  <c r="J269" i="7"/>
  <c r="K275" i="8"/>
  <c r="T150" i="7"/>
  <c r="T156" i="8"/>
  <c r="J323" i="7"/>
  <c r="K329" i="8"/>
  <c r="CP151" i="1"/>
  <c r="O151" i="1" s="1"/>
  <c r="J253" i="7"/>
  <c r="K259" i="8"/>
  <c r="T107" i="7"/>
  <c r="J112" i="7" s="1"/>
  <c r="T113" i="8"/>
  <c r="K118" i="8" s="1"/>
  <c r="R160" i="1"/>
  <c r="GK160" i="1" s="1"/>
  <c r="V312" i="7"/>
  <c r="V318" i="8"/>
  <c r="GM437" i="1"/>
  <c r="GP437" i="1" s="1"/>
  <c r="CP447" i="1"/>
  <c r="O447" i="1" s="1"/>
  <c r="R438" i="1"/>
  <c r="GK438" i="1" s="1"/>
  <c r="V539" i="7"/>
  <c r="V545" i="8"/>
  <c r="GM606" i="1"/>
  <c r="GP606" i="1" s="1"/>
  <c r="R661" i="7"/>
  <c r="J664" i="7" s="1"/>
  <c r="R667" i="8"/>
  <c r="K670" i="8" s="1"/>
  <c r="R701" i="7"/>
  <c r="J704" i="7" s="1"/>
  <c r="R707" i="8"/>
  <c r="K710" i="8" s="1"/>
  <c r="T693" i="7"/>
  <c r="J698" i="7" s="1"/>
  <c r="T699" i="8"/>
  <c r="K704" i="8" s="1"/>
  <c r="T746" i="7"/>
  <c r="J749" i="7" s="1"/>
  <c r="T752" i="8"/>
  <c r="K755" i="8" s="1"/>
  <c r="CP127" i="1"/>
  <c r="O127" i="1" s="1"/>
  <c r="GM127" i="1" s="1"/>
  <c r="GP127" i="1" s="1"/>
  <c r="R320" i="7"/>
  <c r="J325" i="7" s="1"/>
  <c r="R326" i="8"/>
  <c r="BC109" i="1"/>
  <c r="F185" i="1"/>
  <c r="J365" i="7"/>
  <c r="K371" i="8"/>
  <c r="V274" i="7"/>
  <c r="V280" i="8"/>
  <c r="R112" i="1"/>
  <c r="GK112" i="1" s="1"/>
  <c r="V74" i="7"/>
  <c r="V80" i="8"/>
  <c r="V437" i="8"/>
  <c r="V431" i="7"/>
  <c r="R314" i="1"/>
  <c r="GK314" i="1" s="1"/>
  <c r="R311" i="1"/>
  <c r="GK311" i="1" s="1"/>
  <c r="V424" i="7"/>
  <c r="V430" i="8"/>
  <c r="V470" i="7"/>
  <c r="V476" i="8"/>
  <c r="J206" i="8"/>
  <c r="V584" i="7"/>
  <c r="V590" i="8"/>
  <c r="R448" i="1"/>
  <c r="GK448" i="1" s="1"/>
  <c r="R395" i="7"/>
  <c r="J398" i="7" s="1"/>
  <c r="I401" i="7" s="1"/>
  <c r="R401" i="8"/>
  <c r="K404" i="8" s="1"/>
  <c r="CY304" i="1"/>
  <c r="X304" i="1" s="1"/>
  <c r="GM304" i="1" s="1"/>
  <c r="GP304" i="1" s="1"/>
  <c r="J403" i="7"/>
  <c r="K409" i="8"/>
  <c r="CZ304" i="1"/>
  <c r="Y304" i="1" s="1"/>
  <c r="F377" i="1"/>
  <c r="T351" i="1"/>
  <c r="GM142" i="1"/>
  <c r="GP142" i="1" s="1"/>
  <c r="AL534" i="1"/>
  <c r="T617" i="7"/>
  <c r="J622" i="7" s="1"/>
  <c r="T623" i="8"/>
  <c r="K628" i="8" s="1"/>
  <c r="T590" i="8"/>
  <c r="K595" i="8" s="1"/>
  <c r="T584" i="7"/>
  <c r="J589" i="7" s="1"/>
  <c r="R435" i="1"/>
  <c r="GK435" i="1" s="1"/>
  <c r="V523" i="7"/>
  <c r="V529" i="8"/>
  <c r="GM527" i="1"/>
  <c r="GP527" i="1" s="1"/>
  <c r="CP604" i="1"/>
  <c r="O604" i="1" s="1"/>
  <c r="GM604" i="1" s="1"/>
  <c r="GP604" i="1" s="1"/>
  <c r="K669" i="8"/>
  <c r="J663" i="7"/>
  <c r="J619" i="7"/>
  <c r="K625" i="8"/>
  <c r="J630" i="8" s="1"/>
  <c r="R164" i="7"/>
  <c r="J167" i="7" s="1"/>
  <c r="R170" i="8"/>
  <c r="K173" i="8" s="1"/>
  <c r="J176" i="8" s="1"/>
  <c r="V77" i="1"/>
  <c r="CZ129" i="1"/>
  <c r="Y129" i="1" s="1"/>
  <c r="R150" i="7"/>
  <c r="R156" i="8"/>
  <c r="GM239" i="1"/>
  <c r="GP239" i="1" s="1"/>
  <c r="CP306" i="1"/>
  <c r="O306" i="1" s="1"/>
  <c r="R494" i="7"/>
  <c r="J498" i="7" s="1"/>
  <c r="R500" i="8"/>
  <c r="K504" i="8" s="1"/>
  <c r="T721" i="8"/>
  <c r="K725" i="8" s="1"/>
  <c r="T715" i="7"/>
  <c r="J719" i="7" s="1"/>
  <c r="R642" i="1"/>
  <c r="V687" i="7"/>
  <c r="V693" i="8"/>
  <c r="CP390" i="1"/>
  <c r="O390" i="1" s="1"/>
  <c r="R632" i="7"/>
  <c r="J635" i="7" s="1"/>
  <c r="I638" i="7" s="1"/>
  <c r="R638" i="8"/>
  <c r="K641" i="8" s="1"/>
  <c r="AK656" i="1"/>
  <c r="AK640" i="1" s="1"/>
  <c r="R693" i="7"/>
  <c r="J697" i="7" s="1"/>
  <c r="R699" i="8"/>
  <c r="K703" i="8" s="1"/>
  <c r="GM652" i="1"/>
  <c r="GP652" i="1" s="1"/>
  <c r="R746" i="7"/>
  <c r="J748" i="7" s="1"/>
  <c r="R752" i="8"/>
  <c r="K754" i="8" s="1"/>
  <c r="J757" i="8" s="1"/>
  <c r="J174" i="7"/>
  <c r="K180" i="8"/>
  <c r="J369" i="8"/>
  <c r="V94" i="7"/>
  <c r="V100" i="8"/>
  <c r="R115" i="1"/>
  <c r="GK115" i="1" s="1"/>
  <c r="GM115" i="1" s="1"/>
  <c r="GP115" i="1" s="1"/>
  <c r="J355" i="7"/>
  <c r="I363" i="7" s="1"/>
  <c r="K361" i="8"/>
  <c r="V131" i="7"/>
  <c r="V137" i="8"/>
  <c r="R124" i="1"/>
  <c r="GK124" i="1" s="1"/>
  <c r="GM124" i="1" s="1"/>
  <c r="GP124" i="1" s="1"/>
  <c r="AO26" i="1"/>
  <c r="F40" i="1"/>
  <c r="J488" i="7"/>
  <c r="K494" i="8"/>
  <c r="I200" i="7"/>
  <c r="K553" i="7"/>
  <c r="L559" i="8"/>
  <c r="R304" i="1"/>
  <c r="GK304" i="1" s="1"/>
  <c r="V402" i="7"/>
  <c r="V408" i="8"/>
  <c r="J193" i="8"/>
  <c r="R605" i="1"/>
  <c r="GK605" i="1" s="1"/>
  <c r="V668" i="7"/>
  <c r="V674" i="8"/>
  <c r="J212" i="7"/>
  <c r="K218" i="8"/>
  <c r="R116" i="1"/>
  <c r="GK116" i="1" s="1"/>
  <c r="V100" i="7"/>
  <c r="V106" i="8"/>
  <c r="R211" i="7"/>
  <c r="J214" i="7" s="1"/>
  <c r="R217" i="8"/>
  <c r="K220" i="8" s="1"/>
  <c r="J723" i="7"/>
  <c r="K729" i="8"/>
  <c r="CY648" i="1"/>
  <c r="X648" i="1" s="1"/>
  <c r="CZ648" i="1"/>
  <c r="Y648" i="1" s="1"/>
  <c r="R142" i="1"/>
  <c r="GK142" i="1" s="1"/>
  <c r="V218" i="7"/>
  <c r="V224" i="8"/>
  <c r="CZ602" i="1"/>
  <c r="Y602" i="1" s="1"/>
  <c r="J650" i="7"/>
  <c r="K656" i="8"/>
  <c r="T395" i="7"/>
  <c r="J399" i="7" s="1"/>
  <c r="T401" i="8"/>
  <c r="K405" i="8" s="1"/>
  <c r="R300" i="1"/>
  <c r="V395" i="7"/>
  <c r="V401" i="8"/>
  <c r="R610" i="7"/>
  <c r="J613" i="7" s="1"/>
  <c r="I616" i="7" s="1"/>
  <c r="R616" i="8"/>
  <c r="K619" i="8" s="1"/>
  <c r="J622" i="8" s="1"/>
  <c r="J541" i="7"/>
  <c r="K547" i="8"/>
  <c r="T494" i="7"/>
  <c r="J499" i="7" s="1"/>
  <c r="T500" i="8"/>
  <c r="K505" i="8" s="1"/>
  <c r="T507" i="7"/>
  <c r="J512" i="7" s="1"/>
  <c r="T513" i="8"/>
  <c r="K518" i="8" s="1"/>
  <c r="GM529" i="1"/>
  <c r="GP529" i="1" s="1"/>
  <c r="R715" i="7"/>
  <c r="J718" i="7" s="1"/>
  <c r="R721" i="8"/>
  <c r="K724" i="8" s="1"/>
  <c r="J727" i="8" s="1"/>
  <c r="R625" i="7"/>
  <c r="J628" i="7" s="1"/>
  <c r="I631" i="7" s="1"/>
  <c r="R631" i="8"/>
  <c r="K634" i="8" s="1"/>
  <c r="CP605" i="1"/>
  <c r="O605" i="1" s="1"/>
  <c r="CY390" i="1"/>
  <c r="X390" i="1" s="1"/>
  <c r="T632" i="7"/>
  <c r="J636" i="7" s="1"/>
  <c r="T638" i="8"/>
  <c r="K642" i="8" s="1"/>
  <c r="GM647" i="1"/>
  <c r="GP647" i="1" s="1"/>
  <c r="J110" i="7"/>
  <c r="K116" i="8"/>
  <c r="CZ154" i="1"/>
  <c r="Y154" i="1" s="1"/>
  <c r="J276" i="7"/>
  <c r="K282" i="8"/>
  <c r="CY154" i="1"/>
  <c r="X154" i="1" s="1"/>
  <c r="J202" i="7"/>
  <c r="K208" i="8"/>
  <c r="CZ112" i="1"/>
  <c r="Y112" i="1" s="1"/>
  <c r="J75" i="7"/>
  <c r="K81" i="8"/>
  <c r="CY112" i="1"/>
  <c r="X112" i="1" s="1"/>
  <c r="AF656" i="1"/>
  <c r="J702" i="7"/>
  <c r="K708" i="8"/>
  <c r="R240" i="7"/>
  <c r="R246" i="8"/>
  <c r="J557" i="7"/>
  <c r="K563" i="8"/>
  <c r="CY144" i="1"/>
  <c r="X144" i="1" s="1"/>
  <c r="J235" i="7"/>
  <c r="K241" i="8"/>
  <c r="CZ144" i="1"/>
  <c r="Y144" i="1" s="1"/>
  <c r="R129" i="1"/>
  <c r="GK129" i="1" s="1"/>
  <c r="V155" i="7"/>
  <c r="V161" i="8"/>
  <c r="J709" i="7"/>
  <c r="K715" i="8"/>
  <c r="J720" i="8" s="1"/>
  <c r="F275" i="1"/>
  <c r="BB231" i="1"/>
  <c r="AZ351" i="1"/>
  <c r="F367" i="1"/>
  <c r="T188" i="7"/>
  <c r="J191" i="7" s="1"/>
  <c r="I193" i="7" s="1"/>
  <c r="T194" i="8"/>
  <c r="K197" i="8" s="1"/>
  <c r="I187" i="7"/>
  <c r="CP603" i="1"/>
  <c r="O603" i="1" s="1"/>
  <c r="GM603" i="1" s="1"/>
  <c r="GP603" i="1" s="1"/>
  <c r="R194" i="7"/>
  <c r="J197" i="7" s="1"/>
  <c r="R200" i="8"/>
  <c r="K203" i="8" s="1"/>
  <c r="R486" i="1"/>
  <c r="V597" i="7"/>
  <c r="V603" i="8"/>
  <c r="T668" i="7"/>
  <c r="J672" i="7" s="1"/>
  <c r="T674" i="8"/>
  <c r="K678" i="8" s="1"/>
  <c r="R602" i="1"/>
  <c r="AE608" i="1" s="1"/>
  <c r="V649" i="7"/>
  <c r="V655" i="8"/>
  <c r="BB294" i="1"/>
  <c r="F577" i="1"/>
  <c r="AK77" i="1"/>
  <c r="R56" i="7"/>
  <c r="J62" i="7" s="1"/>
  <c r="R62" i="8"/>
  <c r="K68" i="8" s="1"/>
  <c r="R515" i="7"/>
  <c r="J519" i="7" s="1"/>
  <c r="I522" i="7" s="1"/>
  <c r="R521" i="8"/>
  <c r="K525" i="8" s="1"/>
  <c r="J528" i="8" s="1"/>
  <c r="CP140" i="1"/>
  <c r="O140" i="1" s="1"/>
  <c r="J203" i="7"/>
  <c r="K209" i="8"/>
  <c r="T171" i="7"/>
  <c r="J176" i="7" s="1"/>
  <c r="T177" i="8"/>
  <c r="K182" i="8" s="1"/>
  <c r="CY129" i="1"/>
  <c r="X129" i="1" s="1"/>
  <c r="R161" i="1"/>
  <c r="GK161" i="1" s="1"/>
  <c r="V320" i="7"/>
  <c r="V326" i="8"/>
  <c r="AH36" i="1"/>
  <c r="AH26" i="1" s="1"/>
  <c r="K47" i="7"/>
  <c r="L53" i="8"/>
  <c r="R131" i="7"/>
  <c r="J135" i="7" s="1"/>
  <c r="R137" i="8"/>
  <c r="K141" i="8" s="1"/>
  <c r="J144" i="8" s="1"/>
  <c r="GM251" i="1"/>
  <c r="GP251" i="1" s="1"/>
  <c r="R444" i="7"/>
  <c r="J448" i="7" s="1"/>
  <c r="R450" i="8"/>
  <c r="K454" i="8" s="1"/>
  <c r="J457" i="8" s="1"/>
  <c r="R507" i="7"/>
  <c r="J511" i="7" s="1"/>
  <c r="R513" i="8"/>
  <c r="K517" i="8" s="1"/>
  <c r="CP648" i="1"/>
  <c r="O648" i="1" s="1"/>
  <c r="R653" i="1"/>
  <c r="GK653" i="1" s="1"/>
  <c r="V752" i="7"/>
  <c r="V758" i="8"/>
  <c r="T625" i="7"/>
  <c r="J629" i="7" s="1"/>
  <c r="T631" i="8"/>
  <c r="K635" i="8" s="1"/>
  <c r="CZ654" i="1"/>
  <c r="Y654" i="1" s="1"/>
  <c r="AL656" i="1" s="1"/>
  <c r="CI656" i="1"/>
  <c r="CZ390" i="1"/>
  <c r="Y390" i="1" s="1"/>
  <c r="CP654" i="1"/>
  <c r="O654" i="1" s="1"/>
  <c r="J282" i="7"/>
  <c r="I287" i="7" s="1"/>
  <c r="K288" i="8"/>
  <c r="J293" i="8" s="1"/>
  <c r="J173" i="7"/>
  <c r="I178" i="7" s="1"/>
  <c r="K179" i="8"/>
  <c r="AF77" i="1"/>
  <c r="J58" i="7"/>
  <c r="K64" i="8"/>
  <c r="CZ442" i="1"/>
  <c r="Y442" i="1" s="1"/>
  <c r="CY442" i="1"/>
  <c r="X442" i="1" s="1"/>
  <c r="J438" i="7"/>
  <c r="K444" i="8"/>
  <c r="CZ316" i="1"/>
  <c r="Y316" i="1" s="1"/>
  <c r="CY316" i="1"/>
  <c r="X316" i="1" s="1"/>
  <c r="CZ604" i="1"/>
  <c r="Y604" i="1" s="1"/>
  <c r="J662" i="7"/>
  <c r="K668" i="8"/>
  <c r="J730" i="7"/>
  <c r="I738" i="7" s="1"/>
  <c r="K736" i="8"/>
  <c r="J744" i="8" s="1"/>
  <c r="AJ231" i="1"/>
  <c r="W262" i="1"/>
  <c r="CY446" i="1"/>
  <c r="X446" i="1" s="1"/>
  <c r="GM446" i="1" s="1"/>
  <c r="GP446" i="1" s="1"/>
  <c r="J572" i="7"/>
  <c r="K578" i="8"/>
  <c r="CZ446" i="1"/>
  <c r="Y446" i="1" s="1"/>
  <c r="CP449" i="1"/>
  <c r="O449" i="1" s="1"/>
  <c r="GM449" i="1" s="1"/>
  <c r="GP449" i="1" s="1"/>
  <c r="I721" i="7"/>
  <c r="J472" i="7"/>
  <c r="K478" i="8"/>
  <c r="J483" i="8" s="1"/>
  <c r="R33" i="1"/>
  <c r="GK33" i="1" s="1"/>
  <c r="GM33" i="1" s="1"/>
  <c r="GP33" i="1" s="1"/>
  <c r="V42" i="7"/>
  <c r="V48" i="8"/>
  <c r="T424" i="7"/>
  <c r="J428" i="7" s="1"/>
  <c r="T430" i="8"/>
  <c r="K434" i="8" s="1"/>
  <c r="CY440" i="1"/>
  <c r="X440" i="1" s="1"/>
  <c r="J549" i="7"/>
  <c r="K555" i="8"/>
  <c r="CZ440" i="1"/>
  <c r="Y440" i="1" s="1"/>
  <c r="R114" i="1"/>
  <c r="V87" i="7"/>
  <c r="V93" i="8"/>
  <c r="CY257" i="1"/>
  <c r="X257" i="1" s="1"/>
  <c r="CZ257" i="1"/>
  <c r="Y257" i="1" s="1"/>
  <c r="J566" i="7"/>
  <c r="K572" i="8"/>
  <c r="R644" i="1"/>
  <c r="GK644" i="1" s="1"/>
  <c r="V701" i="7"/>
  <c r="V707" i="8"/>
  <c r="AI169" i="1"/>
  <c r="AF608" i="1"/>
  <c r="AF600" i="1" s="1"/>
  <c r="AP656" i="1"/>
  <c r="BY640" i="1"/>
  <c r="J89" i="7"/>
  <c r="K95" i="8"/>
  <c r="GM242" i="1"/>
  <c r="GP242" i="1" s="1"/>
  <c r="CP257" i="1"/>
  <c r="O257" i="1" s="1"/>
  <c r="GM135" i="1"/>
  <c r="GP135" i="1" s="1"/>
  <c r="R171" i="7"/>
  <c r="J175" i="7" s="1"/>
  <c r="R177" i="8"/>
  <c r="K181" i="8" s="1"/>
  <c r="R244" i="7"/>
  <c r="R250" i="8"/>
  <c r="K251" i="8" s="1"/>
  <c r="J254" i="8" s="1"/>
  <c r="CP159" i="1"/>
  <c r="O159" i="1" s="1"/>
  <c r="R364" i="7"/>
  <c r="J367" i="7" s="1"/>
  <c r="R370" i="8"/>
  <c r="K373" i="8" s="1"/>
  <c r="GM312" i="1"/>
  <c r="GP312" i="1" s="1"/>
  <c r="J480" i="7"/>
  <c r="K486" i="8"/>
  <c r="CC388" i="1"/>
  <c r="R94" i="7"/>
  <c r="J96" i="7" s="1"/>
  <c r="I99" i="7" s="1"/>
  <c r="R100" i="8"/>
  <c r="K102" i="8" s="1"/>
  <c r="J150" i="7"/>
  <c r="K156" i="8"/>
  <c r="CP126" i="1"/>
  <c r="O126" i="1" s="1"/>
  <c r="GM126" i="1" s="1"/>
  <c r="GP126" i="1" s="1"/>
  <c r="T131" i="7"/>
  <c r="J136" i="7" s="1"/>
  <c r="T137" i="8"/>
  <c r="K142" i="8" s="1"/>
  <c r="CP123" i="1"/>
  <c r="O123" i="1" s="1"/>
  <c r="GM123" i="1" s="1"/>
  <c r="GP123" i="1" s="1"/>
  <c r="T260" i="7"/>
  <c r="J263" i="7" s="1"/>
  <c r="T266" i="8"/>
  <c r="K269" i="8" s="1"/>
  <c r="CP165" i="1"/>
  <c r="O165" i="1" s="1"/>
  <c r="GM237" i="1"/>
  <c r="GP237" i="1" s="1"/>
  <c r="GM247" i="1"/>
  <c r="GP247" i="1" s="1"/>
  <c r="AC262" i="1"/>
  <c r="CF262" i="1" s="1"/>
  <c r="J382" i="7"/>
  <c r="K388" i="8"/>
  <c r="R392" i="1"/>
  <c r="GK392" i="1" s="1"/>
  <c r="V478" i="7"/>
  <c r="V484" i="8"/>
  <c r="GM249" i="1"/>
  <c r="GP249" i="1" s="1"/>
  <c r="T444" i="7"/>
  <c r="J449" i="7" s="1"/>
  <c r="I451" i="7" s="1"/>
  <c r="T450" i="8"/>
  <c r="K455" i="8" s="1"/>
  <c r="R646" i="1"/>
  <c r="GK646" i="1" s="1"/>
  <c r="V708" i="7"/>
  <c r="V714" i="8"/>
  <c r="CP441" i="1"/>
  <c r="O441" i="1" s="1"/>
  <c r="GM441" i="1" s="1"/>
  <c r="GP441" i="1" s="1"/>
  <c r="J558" i="7"/>
  <c r="K564" i="8"/>
  <c r="CP432" i="1"/>
  <c r="O432" i="1" s="1"/>
  <c r="R486" i="7"/>
  <c r="J490" i="7" s="1"/>
  <c r="R492" i="8"/>
  <c r="K496" i="8" s="1"/>
  <c r="GM395" i="1"/>
  <c r="GP395" i="1" s="1"/>
  <c r="R648" i="1"/>
  <c r="GK648" i="1" s="1"/>
  <c r="V722" i="7"/>
  <c r="V728" i="8"/>
  <c r="CP448" i="1"/>
  <c r="O448" i="1" s="1"/>
  <c r="J252" i="7"/>
  <c r="K258" i="8"/>
  <c r="J299" i="7"/>
  <c r="K305" i="8"/>
  <c r="CZ158" i="1"/>
  <c r="Y158" i="1" s="1"/>
  <c r="CY158" i="1"/>
  <c r="X158" i="1" s="1"/>
  <c r="R128" i="1"/>
  <c r="GK128" i="1" s="1"/>
  <c r="GM128" i="1" s="1"/>
  <c r="GP128" i="1" s="1"/>
  <c r="V150" i="7"/>
  <c r="V156" i="8"/>
  <c r="K113" i="7"/>
  <c r="L119" i="8"/>
  <c r="J509" i="7"/>
  <c r="I514" i="7" s="1"/>
  <c r="K515" i="8"/>
  <c r="J520" i="8" s="1"/>
  <c r="BB351" i="1"/>
  <c r="F369" i="1"/>
  <c r="J496" i="7"/>
  <c r="K502" i="8"/>
  <c r="J507" i="8" s="1"/>
  <c r="AZ483" i="1"/>
  <c r="F501" i="1"/>
  <c r="R395" i="1"/>
  <c r="GK395" i="1" s="1"/>
  <c r="V494" i="7"/>
  <c r="V500" i="8"/>
  <c r="R416" i="7"/>
  <c r="J420" i="7" s="1"/>
  <c r="I423" i="7" s="1"/>
  <c r="R422" i="8"/>
  <c r="K426" i="8" s="1"/>
  <c r="J429" i="8" s="1"/>
  <c r="R124" i="7"/>
  <c r="J127" i="7" s="1"/>
  <c r="I130" i="7" s="1"/>
  <c r="R130" i="8"/>
  <c r="K133" i="8" s="1"/>
  <c r="T305" i="7"/>
  <c r="J309" i="7" s="1"/>
  <c r="T311" i="8"/>
  <c r="K315" i="8" s="1"/>
  <c r="R654" i="1"/>
  <c r="GK654" i="1" s="1"/>
  <c r="V764" i="8"/>
  <c r="V758" i="7"/>
  <c r="K763" i="7"/>
  <c r="L769" i="8"/>
  <c r="AO600" i="1"/>
  <c r="F612" i="1"/>
  <c r="R281" i="7"/>
  <c r="J284" i="7" s="1"/>
  <c r="R287" i="8"/>
  <c r="K290" i="8" s="1"/>
  <c r="R378" i="7"/>
  <c r="J383" i="7" s="1"/>
  <c r="R384" i="8"/>
  <c r="K389" i="8" s="1"/>
  <c r="CP394" i="1"/>
  <c r="O394" i="1" s="1"/>
  <c r="GM394" i="1" s="1"/>
  <c r="GP394" i="1" s="1"/>
  <c r="K495" i="8"/>
  <c r="J499" i="8" s="1"/>
  <c r="J489" i="7"/>
  <c r="AH451" i="1"/>
  <c r="AH429" i="1" s="1"/>
  <c r="K545" i="7"/>
  <c r="L551" i="8"/>
  <c r="R201" i="7"/>
  <c r="J206" i="7" s="1"/>
  <c r="R207" i="8"/>
  <c r="K212" i="8" s="1"/>
  <c r="R316" i="1"/>
  <c r="GK316" i="1" s="1"/>
  <c r="V437" i="7"/>
  <c r="V443" i="8"/>
  <c r="CZ444" i="1"/>
  <c r="Y444" i="1" s="1"/>
  <c r="GM444" i="1" s="1"/>
  <c r="GP444" i="1" s="1"/>
  <c r="R162" i="1"/>
  <c r="GK162" i="1" s="1"/>
  <c r="GM162" i="1" s="1"/>
  <c r="GP162" i="1" s="1"/>
  <c r="V324" i="7"/>
  <c r="V330" i="8"/>
  <c r="GM134" i="1"/>
  <c r="GP134" i="1" s="1"/>
  <c r="AL77" i="1"/>
  <c r="AL72" i="1" s="1"/>
  <c r="T56" i="7"/>
  <c r="J63" i="7" s="1"/>
  <c r="T62" i="8"/>
  <c r="K69" i="8" s="1"/>
  <c r="T244" i="7"/>
  <c r="T250" i="8"/>
  <c r="T364" i="7"/>
  <c r="J368" i="7" s="1"/>
  <c r="T370" i="8"/>
  <c r="K374" i="8" s="1"/>
  <c r="T94" i="7"/>
  <c r="J97" i="7" s="1"/>
  <c r="T100" i="8"/>
  <c r="K103" i="8" s="1"/>
  <c r="R146" i="1"/>
  <c r="GK146" i="1" s="1"/>
  <c r="GM146" i="1" s="1"/>
  <c r="GP146" i="1" s="1"/>
  <c r="V244" i="7"/>
  <c r="V250" i="8"/>
  <c r="J268" i="7"/>
  <c r="K274" i="8"/>
  <c r="R143" i="1"/>
  <c r="GK143" i="1" s="1"/>
  <c r="V225" i="7"/>
  <c r="V231" i="8"/>
  <c r="T124" i="7"/>
  <c r="J128" i="7" s="1"/>
  <c r="T130" i="8"/>
  <c r="K134" i="8" s="1"/>
  <c r="R137" i="1"/>
  <c r="GK137" i="1" s="1"/>
  <c r="GM137" i="1" s="1"/>
  <c r="GP137" i="1" s="1"/>
  <c r="V188" i="7"/>
  <c r="V194" i="8"/>
  <c r="T194" i="7"/>
  <c r="J198" i="7" s="1"/>
  <c r="T200" i="8"/>
  <c r="K204" i="8" s="1"/>
  <c r="CP129" i="1"/>
  <c r="O129" i="1" s="1"/>
  <c r="GM129" i="1" s="1"/>
  <c r="GP129" i="1" s="1"/>
  <c r="R144" i="1"/>
  <c r="GK144" i="1" s="1"/>
  <c r="V233" i="7"/>
  <c r="V239" i="8"/>
  <c r="J244" i="7"/>
  <c r="K250" i="8"/>
  <c r="R266" i="8"/>
  <c r="K268" i="8" s="1"/>
  <c r="R260" i="7"/>
  <c r="J262" i="7" s="1"/>
  <c r="K272" i="7"/>
  <c r="L278" i="8"/>
  <c r="J380" i="7"/>
  <c r="K386" i="8"/>
  <c r="GM236" i="1"/>
  <c r="GP236" i="1" s="1"/>
  <c r="GM313" i="1"/>
  <c r="GP313" i="1" s="1"/>
  <c r="T486" i="7"/>
  <c r="J491" i="7" s="1"/>
  <c r="T492" i="8"/>
  <c r="K497" i="8" s="1"/>
  <c r="AC534" i="1"/>
  <c r="AF534" i="1"/>
  <c r="AF522" i="1" s="1"/>
  <c r="GM532" i="1"/>
  <c r="GP532" i="1" s="1"/>
  <c r="CY448" i="1"/>
  <c r="X448" i="1" s="1"/>
  <c r="CP135" i="1"/>
  <c r="O135" i="1" s="1"/>
  <c r="V298" i="7"/>
  <c r="V304" i="8"/>
  <c r="R158" i="1"/>
  <c r="GK158" i="1" s="1"/>
  <c r="R113" i="1"/>
  <c r="GK113" i="1" s="1"/>
  <c r="V80" i="7"/>
  <c r="V86" i="8"/>
  <c r="K320" i="8"/>
  <c r="J314" i="7"/>
  <c r="I319" i="7" s="1"/>
  <c r="K238" i="7"/>
  <c r="L244" i="8"/>
  <c r="K759" i="8"/>
  <c r="J753" i="7"/>
  <c r="CZ653" i="1"/>
  <c r="Y653" i="1" s="1"/>
  <c r="CY653" i="1"/>
  <c r="X653" i="1" s="1"/>
  <c r="GM653" i="1" s="1"/>
  <c r="GP653" i="1" s="1"/>
  <c r="V409" i="7"/>
  <c r="V415" i="8"/>
  <c r="R306" i="1"/>
  <c r="GK306" i="1" s="1"/>
  <c r="V450" i="8"/>
  <c r="V444" i="7"/>
  <c r="R317" i="1"/>
  <c r="GK317" i="1" s="1"/>
  <c r="GM317" i="1" s="1"/>
  <c r="GP317" i="1" s="1"/>
  <c r="T240" i="7"/>
  <c r="J246" i="7" s="1"/>
  <c r="T246" i="8"/>
  <c r="K252" i="8" s="1"/>
  <c r="AW356" i="1"/>
  <c r="CF351" i="1"/>
  <c r="CP28" i="1"/>
  <c r="O28" i="1" s="1"/>
  <c r="GM28" i="1" s="1"/>
  <c r="GP28" i="1" s="1"/>
  <c r="R188" i="7"/>
  <c r="J190" i="7" s="1"/>
  <c r="R194" i="8"/>
  <c r="K196" i="8" s="1"/>
  <c r="J199" i="8" s="1"/>
  <c r="J600" i="7"/>
  <c r="K606" i="8"/>
  <c r="R649" i="1"/>
  <c r="V735" i="8"/>
  <c r="K742" i="8" s="1"/>
  <c r="V729" i="7"/>
  <c r="J736" i="7" s="1"/>
  <c r="CP391" i="1"/>
  <c r="O391" i="1" s="1"/>
  <c r="GM391" i="1" s="1"/>
  <c r="GP391" i="1" s="1"/>
  <c r="BB429" i="1"/>
  <c r="F464" i="1"/>
  <c r="AG429" i="1"/>
  <c r="T451" i="1"/>
  <c r="AJ388" i="1"/>
  <c r="W397" i="1"/>
  <c r="CI640" i="1"/>
  <c r="AZ656" i="1"/>
  <c r="AI429" i="1"/>
  <c r="V451" i="1"/>
  <c r="U36" i="1"/>
  <c r="AH109" i="1"/>
  <c r="U169" i="1"/>
  <c r="AG388" i="1"/>
  <c r="T397" i="1"/>
  <c r="CJ109" i="1"/>
  <c r="BA169" i="1"/>
  <c r="AD429" i="1"/>
  <c r="Q451" i="1"/>
  <c r="AI109" i="1"/>
  <c r="V169" i="1"/>
  <c r="AD388" i="1"/>
  <c r="Q397" i="1"/>
  <c r="CH262" i="1"/>
  <c r="P262" i="1"/>
  <c r="AC231" i="1"/>
  <c r="CE262" i="1"/>
  <c r="Y534" i="1"/>
  <c r="AL522" i="1"/>
  <c r="F624" i="1"/>
  <c r="BC600" i="1"/>
  <c r="BC686" i="1"/>
  <c r="CZ439" i="1"/>
  <c r="Y439" i="1" s="1"/>
  <c r="CY439" i="1"/>
  <c r="X439" i="1" s="1"/>
  <c r="GK642" i="1"/>
  <c r="CB640" i="1"/>
  <c r="AS656" i="1"/>
  <c r="AS686" i="1" s="1"/>
  <c r="CP486" i="1"/>
  <c r="O486" i="1" s="1"/>
  <c r="GM311" i="1"/>
  <c r="GP311" i="1" s="1"/>
  <c r="X656" i="1"/>
  <c r="AC26" i="1"/>
  <c r="CE36" i="1"/>
  <c r="CF36" i="1"/>
  <c r="CH36" i="1"/>
  <c r="P36" i="1"/>
  <c r="GK32" i="1"/>
  <c r="BD72" i="1"/>
  <c r="BD199" i="1"/>
  <c r="F102" i="1"/>
  <c r="CY30" i="1"/>
  <c r="X30" i="1" s="1"/>
  <c r="CZ30" i="1"/>
  <c r="Y30" i="1" s="1"/>
  <c r="CY119" i="1"/>
  <c r="X119" i="1" s="1"/>
  <c r="CZ119" i="1"/>
  <c r="Y119" i="1" s="1"/>
  <c r="AF169" i="1"/>
  <c r="U262" i="1"/>
  <c r="AH231" i="1"/>
  <c r="AP231" i="1"/>
  <c r="F271" i="1"/>
  <c r="CJ231" i="1"/>
  <c r="BA262" i="1"/>
  <c r="CJ298" i="1"/>
  <c r="BA319" i="1"/>
  <c r="BD429" i="1"/>
  <c r="BD564" i="1"/>
  <c r="F476" i="1"/>
  <c r="GM241" i="1"/>
  <c r="GP241" i="1" s="1"/>
  <c r="GM524" i="1"/>
  <c r="AB534" i="1"/>
  <c r="AD656" i="1"/>
  <c r="CP645" i="1"/>
  <c r="O645" i="1" s="1"/>
  <c r="GM645" i="1" s="1"/>
  <c r="GP645" i="1" s="1"/>
  <c r="F508" i="1"/>
  <c r="AT483" i="1"/>
  <c r="F676" i="1"/>
  <c r="BA640" i="1"/>
  <c r="GK114" i="1"/>
  <c r="AH298" i="1"/>
  <c r="U319" i="1"/>
  <c r="Q490" i="1"/>
  <c r="AD483" i="1"/>
  <c r="AP109" i="1"/>
  <c r="F178" i="1"/>
  <c r="AP199" i="1"/>
  <c r="F467" i="1"/>
  <c r="BC429" i="1"/>
  <c r="BC564" i="1"/>
  <c r="CI109" i="1"/>
  <c r="AZ169" i="1"/>
  <c r="AZ262" i="1"/>
  <c r="CI231" i="1"/>
  <c r="V231" i="1"/>
  <c r="F285" i="1"/>
  <c r="CG522" i="1"/>
  <c r="AX534" i="1"/>
  <c r="AJ298" i="1"/>
  <c r="W319" i="1"/>
  <c r="T608" i="1"/>
  <c r="AG600" i="1"/>
  <c r="BB640" i="1"/>
  <c r="BB686" i="1"/>
  <c r="F669" i="1"/>
  <c r="Q522" i="1"/>
  <c r="F546" i="1"/>
  <c r="AC397" i="1"/>
  <c r="GM643" i="1"/>
  <c r="GP643" i="1" s="1"/>
  <c r="AC483" i="1"/>
  <c r="CE490" i="1"/>
  <c r="CF490" i="1"/>
  <c r="CH490" i="1"/>
  <c r="P490" i="1"/>
  <c r="AQ397" i="1"/>
  <c r="CG397" i="1"/>
  <c r="BZ388" i="1"/>
  <c r="AQ483" i="1"/>
  <c r="F500" i="1"/>
  <c r="BZ298" i="1"/>
  <c r="AQ319" i="1"/>
  <c r="AP483" i="1"/>
  <c r="F499" i="1"/>
  <c r="T490" i="1"/>
  <c r="AG483" i="1"/>
  <c r="CC600" i="1"/>
  <c r="AT608" i="1"/>
  <c r="S608" i="1"/>
  <c r="BA351" i="1"/>
  <c r="F376" i="1"/>
  <c r="CY486" i="1"/>
  <c r="X486" i="1" s="1"/>
  <c r="CZ486" i="1"/>
  <c r="Y486" i="1" s="1"/>
  <c r="AF490" i="1"/>
  <c r="BD231" i="1"/>
  <c r="F287" i="1"/>
  <c r="AQ109" i="1"/>
  <c r="F179" i="1"/>
  <c r="AQ199" i="1"/>
  <c r="F681" i="1"/>
  <c r="BD640" i="1"/>
  <c r="BD686" i="1"/>
  <c r="CB26" i="1"/>
  <c r="AS36" i="1"/>
  <c r="GM155" i="1"/>
  <c r="GP155" i="1" s="1"/>
  <c r="GM141" i="1"/>
  <c r="GP141" i="1" s="1"/>
  <c r="CY353" i="1"/>
  <c r="X353" i="1" s="1"/>
  <c r="CZ353" i="1"/>
  <c r="Y353" i="1" s="1"/>
  <c r="AQ231" i="1"/>
  <c r="F272" i="1"/>
  <c r="AS483" i="1"/>
  <c r="F507" i="1"/>
  <c r="BA397" i="1"/>
  <c r="CJ388" i="1"/>
  <c r="CI600" i="1"/>
  <c r="AZ608" i="1"/>
  <c r="AS451" i="1"/>
  <c r="CB429" i="1"/>
  <c r="F677" i="1"/>
  <c r="T640" i="1"/>
  <c r="AK231" i="1"/>
  <c r="X262" i="1"/>
  <c r="AT109" i="1"/>
  <c r="F187" i="1"/>
  <c r="Q36" i="1"/>
  <c r="AD26" i="1"/>
  <c r="AT298" i="1"/>
  <c r="F337" i="1"/>
  <c r="AT564" i="1"/>
  <c r="AK72" i="1"/>
  <c r="X77" i="1"/>
  <c r="CP253" i="1"/>
  <c r="O253" i="1" s="1"/>
  <c r="AS109" i="1"/>
  <c r="F186" i="1"/>
  <c r="AD262" i="1"/>
  <c r="GM244" i="1"/>
  <c r="GP244" i="1" s="1"/>
  <c r="GM248" i="1"/>
  <c r="GP248" i="1" s="1"/>
  <c r="GK300" i="1"/>
  <c r="AE319" i="1"/>
  <c r="GM154" i="1"/>
  <c r="GP154" i="1" s="1"/>
  <c r="GK431" i="1"/>
  <c r="AH388" i="1"/>
  <c r="U397" i="1"/>
  <c r="CZ392" i="1"/>
  <c r="Y392" i="1" s="1"/>
  <c r="CY392" i="1"/>
  <c r="X392" i="1" s="1"/>
  <c r="CP438" i="1"/>
  <c r="O438" i="1" s="1"/>
  <c r="AC451" i="1"/>
  <c r="F361" i="1"/>
  <c r="AV351" i="1"/>
  <c r="AK319" i="1"/>
  <c r="AC656" i="1"/>
  <c r="CP642" i="1"/>
  <c r="O642" i="1" s="1"/>
  <c r="F555" i="1"/>
  <c r="T522" i="1"/>
  <c r="GM644" i="1"/>
  <c r="GP644" i="1" s="1"/>
  <c r="F625" i="1"/>
  <c r="AS600" i="1"/>
  <c r="V72" i="1"/>
  <c r="F100" i="1"/>
  <c r="T26" i="1"/>
  <c r="F57" i="1"/>
  <c r="GK235" i="1"/>
  <c r="CH351" i="1"/>
  <c r="AY356" i="1"/>
  <c r="AI388" i="1"/>
  <c r="V397" i="1"/>
  <c r="GM526" i="1"/>
  <c r="GP526" i="1" s="1"/>
  <c r="CP602" i="1"/>
  <c r="O602" i="1" s="1"/>
  <c r="AC608" i="1"/>
  <c r="CP240" i="1"/>
  <c r="O240" i="1" s="1"/>
  <c r="GM240" i="1" s="1"/>
  <c r="GP240" i="1" s="1"/>
  <c r="GM245" i="1"/>
  <c r="GP245" i="1" s="1"/>
  <c r="AD319" i="1"/>
  <c r="GM310" i="1"/>
  <c r="GP310" i="1" s="1"/>
  <c r="F415" i="1"/>
  <c r="AT388" i="1"/>
  <c r="CP439" i="1"/>
  <c r="O439" i="1" s="1"/>
  <c r="AF397" i="1"/>
  <c r="GK486" i="1"/>
  <c r="AE490" i="1"/>
  <c r="AJ26" i="1"/>
  <c r="W36" i="1"/>
  <c r="F46" i="1"/>
  <c r="AQ26" i="1"/>
  <c r="CG483" i="1"/>
  <c r="AX490" i="1"/>
  <c r="CP114" i="1"/>
  <c r="O114" i="1" s="1"/>
  <c r="GM114" i="1" s="1"/>
  <c r="GP114" i="1" s="1"/>
  <c r="F93" i="1"/>
  <c r="BC72" i="1"/>
  <c r="BC199" i="1"/>
  <c r="CP153" i="1"/>
  <c r="O153" i="1" s="1"/>
  <c r="GM153" i="1" s="1"/>
  <c r="GP153" i="1" s="1"/>
  <c r="GM259" i="1"/>
  <c r="GP259" i="1" s="1"/>
  <c r="CG319" i="1"/>
  <c r="CY305" i="1"/>
  <c r="X305" i="1" s="1"/>
  <c r="CZ305" i="1"/>
  <c r="Y305" i="1" s="1"/>
  <c r="CY434" i="1"/>
  <c r="X434" i="1" s="1"/>
  <c r="CZ434" i="1"/>
  <c r="Y434" i="1" s="1"/>
  <c r="GM393" i="1"/>
  <c r="GP393" i="1" s="1"/>
  <c r="AP298" i="1"/>
  <c r="F328" i="1"/>
  <c r="GM307" i="1"/>
  <c r="GP307" i="1" s="1"/>
  <c r="AO596" i="1"/>
  <c r="F690" i="1"/>
  <c r="AD608" i="1"/>
  <c r="V534" i="1"/>
  <c r="AI522" i="1"/>
  <c r="V656" i="1"/>
  <c r="V686" i="1" s="1"/>
  <c r="AI640" i="1"/>
  <c r="AT522" i="1"/>
  <c r="F552" i="1"/>
  <c r="BA429" i="1"/>
  <c r="F471" i="1"/>
  <c r="AJ109" i="1"/>
  <c r="W169" i="1"/>
  <c r="W199" i="1" s="1"/>
  <c r="P534" i="1"/>
  <c r="CF534" i="1"/>
  <c r="CH534" i="1"/>
  <c r="AC522" i="1"/>
  <c r="CE534" i="1"/>
  <c r="GM252" i="1"/>
  <c r="GP252" i="1" s="1"/>
  <c r="BB109" i="1"/>
  <c r="BB199" i="1"/>
  <c r="F182" i="1"/>
  <c r="AG298" i="1"/>
  <c r="T319" i="1"/>
  <c r="CP160" i="1"/>
  <c r="O160" i="1" s="1"/>
  <c r="GM160" i="1" s="1"/>
  <c r="GP160" i="1" s="1"/>
  <c r="BA26" i="1"/>
  <c r="F56" i="1"/>
  <c r="CP302" i="1"/>
  <c r="O302" i="1" s="1"/>
  <c r="GM302" i="1" s="1"/>
  <c r="GP302" i="1" s="1"/>
  <c r="AK534" i="1"/>
  <c r="F414" i="1"/>
  <c r="AS388" i="1"/>
  <c r="BC640" i="1"/>
  <c r="F672" i="1"/>
  <c r="CJ600" i="1"/>
  <c r="BA608" i="1"/>
  <c r="U522" i="1"/>
  <c r="F556" i="1"/>
  <c r="BZ429" i="1"/>
  <c r="AQ451" i="1"/>
  <c r="CI451" i="1"/>
  <c r="CG451" i="1"/>
  <c r="W656" i="1"/>
  <c r="AJ640" i="1"/>
  <c r="GM309" i="1"/>
  <c r="GP309" i="1" s="1"/>
  <c r="AZ77" i="1"/>
  <c r="CI72" i="1"/>
  <c r="CP113" i="1"/>
  <c r="O113" i="1" s="1"/>
  <c r="GM113" i="1" s="1"/>
  <c r="GP113" i="1" s="1"/>
  <c r="AX36" i="1"/>
  <c r="CG26" i="1"/>
  <c r="AX77" i="1"/>
  <c r="CG72" i="1"/>
  <c r="GM131" i="1"/>
  <c r="GP131" i="1" s="1"/>
  <c r="CY126" i="1"/>
  <c r="X126" i="1" s="1"/>
  <c r="CZ126" i="1"/>
  <c r="Y126" i="1" s="1"/>
  <c r="V26" i="1"/>
  <c r="F59" i="1"/>
  <c r="F95" i="1"/>
  <c r="AT72" i="1"/>
  <c r="AT199" i="1"/>
  <c r="AO231" i="1"/>
  <c r="F266" i="1"/>
  <c r="CI397" i="1"/>
  <c r="CI319" i="1"/>
  <c r="GM488" i="1"/>
  <c r="GP488" i="1" s="1"/>
  <c r="AP429" i="1"/>
  <c r="F460" i="1"/>
  <c r="CG600" i="1"/>
  <c r="AX608" i="1"/>
  <c r="CY438" i="1"/>
  <c r="X438" i="1" s="1"/>
  <c r="CZ438" i="1"/>
  <c r="Y438" i="1" s="1"/>
  <c r="AL451" i="1" s="1"/>
  <c r="AF451" i="1"/>
  <c r="CI534" i="1"/>
  <c r="BY522" i="1"/>
  <c r="AP534" i="1"/>
  <c r="AP564" i="1" s="1"/>
  <c r="CP116" i="1"/>
  <c r="O116" i="1" s="1"/>
  <c r="AG231" i="1"/>
  <c r="T262" i="1"/>
  <c r="CP30" i="1"/>
  <c r="O30" i="1" s="1"/>
  <c r="F94" i="1"/>
  <c r="AS72" i="1"/>
  <c r="AS199" i="1"/>
  <c r="F101" i="1"/>
  <c r="W72" i="1"/>
  <c r="AP26" i="1"/>
  <c r="F45" i="1"/>
  <c r="GM133" i="1"/>
  <c r="GP133" i="1" s="1"/>
  <c r="AG169" i="1"/>
  <c r="CP161" i="1"/>
  <c r="O161" i="1" s="1"/>
  <c r="GM161" i="1" s="1"/>
  <c r="GP161" i="1" s="1"/>
  <c r="AX262" i="1"/>
  <c r="CG231" i="1"/>
  <c r="AS298" i="1"/>
  <c r="F336" i="1"/>
  <c r="AS564" i="1"/>
  <c r="AT231" i="1"/>
  <c r="F280" i="1"/>
  <c r="AJ429" i="1"/>
  <c r="W451" i="1"/>
  <c r="F406" i="1"/>
  <c r="AP388" i="1"/>
  <c r="AO294" i="1"/>
  <c r="F568" i="1"/>
  <c r="CJ522" i="1"/>
  <c r="BA534" i="1"/>
  <c r="W490" i="1"/>
  <c r="AJ483" i="1"/>
  <c r="GM431" i="1"/>
  <c r="AQ522" i="1"/>
  <c r="F544" i="1"/>
  <c r="F618" i="1"/>
  <c r="AQ600" i="1"/>
  <c r="F512" i="1"/>
  <c r="U483" i="1"/>
  <c r="AQ656" i="1"/>
  <c r="CG656" i="1"/>
  <c r="BZ640" i="1"/>
  <c r="S262" i="1"/>
  <c r="AF231" i="1"/>
  <c r="AB36" i="1"/>
  <c r="F631" i="1"/>
  <c r="V600" i="1"/>
  <c r="T77" i="1"/>
  <c r="AG72" i="1"/>
  <c r="GM117" i="1"/>
  <c r="GP117" i="1" s="1"/>
  <c r="AF298" i="1"/>
  <c r="S319" i="1"/>
  <c r="CY29" i="1"/>
  <c r="X29" i="1" s="1"/>
  <c r="CZ29" i="1"/>
  <c r="Y29" i="1" s="1"/>
  <c r="BC26" i="1"/>
  <c r="F52" i="1"/>
  <c r="BC716" i="1"/>
  <c r="CI26" i="1"/>
  <c r="AZ36" i="1"/>
  <c r="Y77" i="1"/>
  <c r="CP121" i="1"/>
  <c r="O121" i="1" s="1"/>
  <c r="GM121" i="1" s="1"/>
  <c r="GP121" i="1" s="1"/>
  <c r="GM159" i="1"/>
  <c r="GP159" i="1" s="1"/>
  <c r="CP235" i="1"/>
  <c r="O235" i="1" s="1"/>
  <c r="CP300" i="1"/>
  <c r="O300" i="1" s="1"/>
  <c r="AC319" i="1"/>
  <c r="GM250" i="1"/>
  <c r="GP250" i="1" s="1"/>
  <c r="AO109" i="1"/>
  <c r="F173" i="1"/>
  <c r="AO199" i="1"/>
  <c r="CG351" i="1"/>
  <c r="AX356" i="1"/>
  <c r="CP392" i="1"/>
  <c r="O392" i="1" s="1"/>
  <c r="F382" i="1"/>
  <c r="X351" i="1"/>
  <c r="V490" i="1"/>
  <c r="AI483" i="1"/>
  <c r="AK608" i="1"/>
  <c r="CJ483" i="1"/>
  <c r="BA490" i="1"/>
  <c r="W522" i="1"/>
  <c r="F558" i="1"/>
  <c r="AF26" i="1"/>
  <c r="S36" i="1"/>
  <c r="AD169" i="1"/>
  <c r="AC77" i="1"/>
  <c r="CP75" i="1"/>
  <c r="O75" i="1" s="1"/>
  <c r="Q77" i="1"/>
  <c r="AD72" i="1"/>
  <c r="CP112" i="1"/>
  <c r="O112" i="1" s="1"/>
  <c r="AC169" i="1"/>
  <c r="CP139" i="1"/>
  <c r="O139" i="1" s="1"/>
  <c r="GM139" i="1" s="1"/>
  <c r="GP139" i="1" s="1"/>
  <c r="CY153" i="1"/>
  <c r="X153" i="1" s="1"/>
  <c r="CZ153" i="1"/>
  <c r="Y153" i="1" s="1"/>
  <c r="CY165" i="1"/>
  <c r="X165" i="1" s="1"/>
  <c r="GM165" i="1" s="1"/>
  <c r="GP165" i="1" s="1"/>
  <c r="CZ165" i="1"/>
  <c r="Y165" i="1" s="1"/>
  <c r="GM258" i="1"/>
  <c r="GP258" i="1" s="1"/>
  <c r="CG109" i="1"/>
  <c r="AX169" i="1"/>
  <c r="AL262" i="1"/>
  <c r="S351" i="1"/>
  <c r="F371" i="1"/>
  <c r="AI298" i="1"/>
  <c r="V319" i="1"/>
  <c r="CY432" i="1"/>
  <c r="X432" i="1" s="1"/>
  <c r="CZ432" i="1"/>
  <c r="Y432" i="1" s="1"/>
  <c r="CP442" i="1"/>
  <c r="O442" i="1" s="1"/>
  <c r="F674" i="1"/>
  <c r="AT640" i="1"/>
  <c r="W608" i="1"/>
  <c r="AJ600" i="1"/>
  <c r="GM605" i="1"/>
  <c r="GP605" i="1" s="1"/>
  <c r="CC429" i="1"/>
  <c r="AT451" i="1"/>
  <c r="F678" i="1"/>
  <c r="U640" i="1"/>
  <c r="F630" i="1"/>
  <c r="U686" i="1"/>
  <c r="U600" i="1"/>
  <c r="P616" i="7" l="1"/>
  <c r="K616" i="7"/>
  <c r="K130" i="7"/>
  <c r="P130" i="7"/>
  <c r="K99" i="7"/>
  <c r="P99" i="7"/>
  <c r="P631" i="7"/>
  <c r="K631" i="7"/>
  <c r="L407" i="8"/>
  <c r="P407" i="8"/>
  <c r="L544" i="8"/>
  <c r="P544" i="8"/>
  <c r="P429" i="8"/>
  <c r="L429" i="8"/>
  <c r="P514" i="7"/>
  <c r="K514" i="7"/>
  <c r="L528" i="8"/>
  <c r="P528" i="8"/>
  <c r="AL640" i="1"/>
  <c r="Y656" i="1"/>
  <c r="Y640" i="1" s="1"/>
  <c r="P423" i="7"/>
  <c r="K423" i="7"/>
  <c r="K522" i="7"/>
  <c r="P522" i="7"/>
  <c r="P193" i="7"/>
  <c r="K193" i="7"/>
  <c r="L622" i="8"/>
  <c r="P622" i="8"/>
  <c r="K738" i="7"/>
  <c r="P738" i="7"/>
  <c r="P451" i="7"/>
  <c r="K451" i="7"/>
  <c r="P363" i="7"/>
  <c r="K363" i="7"/>
  <c r="K401" i="7"/>
  <c r="P401" i="7"/>
  <c r="L293" i="8"/>
  <c r="P293" i="8"/>
  <c r="K638" i="7"/>
  <c r="P638" i="7"/>
  <c r="K681" i="7"/>
  <c r="P681" i="7"/>
  <c r="K287" i="7"/>
  <c r="P287" i="7"/>
  <c r="J47" i="8"/>
  <c r="P507" i="8"/>
  <c r="L507" i="8"/>
  <c r="L254" i="8"/>
  <c r="P254" i="8"/>
  <c r="AW351" i="1"/>
  <c r="F362" i="1"/>
  <c r="T233" i="7"/>
  <c r="J237" i="7" s="1"/>
  <c r="T239" i="8"/>
  <c r="K243" i="8" s="1"/>
  <c r="T100" i="7"/>
  <c r="J104" i="7" s="1"/>
  <c r="T106" i="8"/>
  <c r="K110" i="8" s="1"/>
  <c r="AL36" i="1"/>
  <c r="T35" i="7"/>
  <c r="J39" i="7" s="1"/>
  <c r="T41" i="8"/>
  <c r="K45" i="8" s="1"/>
  <c r="GM434" i="1"/>
  <c r="GP434" i="1" s="1"/>
  <c r="GK390" i="1"/>
  <c r="GM390" i="1" s="1"/>
  <c r="AE397" i="1"/>
  <c r="GM140" i="1"/>
  <c r="GP140" i="1" s="1"/>
  <c r="I353" i="7"/>
  <c r="GK253" i="1"/>
  <c r="GM253" i="1" s="1"/>
  <c r="GP253" i="1" s="1"/>
  <c r="K387" i="8"/>
  <c r="J381" i="7"/>
  <c r="AE262" i="1"/>
  <c r="AE451" i="1"/>
  <c r="P319" i="7"/>
  <c r="K319" i="7"/>
  <c r="I501" i="7"/>
  <c r="R298" i="7"/>
  <c r="J301" i="7" s="1"/>
  <c r="R304" i="8"/>
  <c r="K307" i="8" s="1"/>
  <c r="J376" i="8"/>
  <c r="I66" i="7"/>
  <c r="R233" i="7"/>
  <c r="J236" i="7" s="1"/>
  <c r="R239" i="8"/>
  <c r="K242" i="8" s="1"/>
  <c r="J245" i="8" s="1"/>
  <c r="J216" i="8"/>
  <c r="J223" i="8"/>
  <c r="T155" i="7"/>
  <c r="J159" i="7" s="1"/>
  <c r="T161" i="8"/>
  <c r="K165" i="8" s="1"/>
  <c r="T402" i="7"/>
  <c r="J406" i="7" s="1"/>
  <c r="T408" i="8"/>
  <c r="K412" i="8" s="1"/>
  <c r="J713" i="8"/>
  <c r="R80" i="7"/>
  <c r="J83" i="7" s="1"/>
  <c r="R86" i="8"/>
  <c r="K89" i="8" s="1"/>
  <c r="I430" i="7"/>
  <c r="R100" i="7"/>
  <c r="J103" i="7" s="1"/>
  <c r="R106" i="8"/>
  <c r="K109" i="8" s="1"/>
  <c r="J112" i="8" s="1"/>
  <c r="I114" i="7"/>
  <c r="GM158" i="1"/>
  <c r="GP158" i="1" s="1"/>
  <c r="K538" i="7"/>
  <c r="P538" i="7"/>
  <c r="GM316" i="1"/>
  <c r="GP316" i="1" s="1"/>
  <c r="R590" i="8"/>
  <c r="K594" i="8" s="1"/>
  <c r="J597" i="8" s="1"/>
  <c r="R584" i="7"/>
  <c r="J588" i="7" s="1"/>
  <c r="I591" i="7" s="1"/>
  <c r="I654" i="7"/>
  <c r="L436" i="8"/>
  <c r="P436" i="8"/>
  <c r="P660" i="7"/>
  <c r="K660" i="7"/>
  <c r="GM305" i="1"/>
  <c r="GP305" i="1" s="1"/>
  <c r="GM353" i="1"/>
  <c r="GP353" i="1" s="1"/>
  <c r="GK649" i="1"/>
  <c r="GM649" i="1" s="1"/>
  <c r="GP649" i="1" s="1"/>
  <c r="J732" i="7"/>
  <c r="K738" i="8"/>
  <c r="T298" i="7"/>
  <c r="J302" i="7" s="1"/>
  <c r="T304" i="8"/>
  <c r="K308" i="8" s="1"/>
  <c r="F665" i="1"/>
  <c r="AP686" i="1"/>
  <c r="AP716" i="1" s="1"/>
  <c r="AP640" i="1"/>
  <c r="L483" i="8"/>
  <c r="P483" i="8"/>
  <c r="S77" i="1"/>
  <c r="AF72" i="1"/>
  <c r="J568" i="8"/>
  <c r="I210" i="7"/>
  <c r="J637" i="8"/>
  <c r="I217" i="7"/>
  <c r="I493" i="7"/>
  <c r="L369" i="8"/>
  <c r="P369" i="8"/>
  <c r="I370" i="7"/>
  <c r="I170" i="7"/>
  <c r="R225" i="7"/>
  <c r="J229" i="7" s="1"/>
  <c r="R231" i="8"/>
  <c r="K235" i="8" s="1"/>
  <c r="J238" i="8" s="1"/>
  <c r="I624" i="7"/>
  <c r="K331" i="8"/>
  <c r="J325" i="8"/>
  <c r="J576" i="8"/>
  <c r="T764" i="8"/>
  <c r="K768" i="8" s="1"/>
  <c r="T758" i="7"/>
  <c r="J762" i="7" s="1"/>
  <c r="P206" i="8"/>
  <c r="L206" i="8"/>
  <c r="T218" i="7"/>
  <c r="J222" i="7" s="1"/>
  <c r="T224" i="8"/>
  <c r="K228" i="8" s="1"/>
  <c r="AK36" i="1"/>
  <c r="R35" i="7"/>
  <c r="J38" i="7" s="1"/>
  <c r="I41" i="7" s="1"/>
  <c r="R41" i="8"/>
  <c r="K44" i="8" s="1"/>
  <c r="R462" i="7"/>
  <c r="J466" i="7" s="1"/>
  <c r="I469" i="7" s="1"/>
  <c r="R468" i="8"/>
  <c r="K472" i="8" s="1"/>
  <c r="J475" i="8" s="1"/>
  <c r="I106" i="7"/>
  <c r="GM32" i="1"/>
  <c r="AE36" i="1"/>
  <c r="AE656" i="1"/>
  <c r="J136" i="8"/>
  <c r="T547" i="7"/>
  <c r="J552" i="7" s="1"/>
  <c r="T553" i="8"/>
  <c r="K558" i="8" s="1"/>
  <c r="J184" i="8"/>
  <c r="P720" i="8"/>
  <c r="L720" i="8"/>
  <c r="I562" i="7"/>
  <c r="R274" i="7"/>
  <c r="J277" i="7" s="1"/>
  <c r="R280" i="8"/>
  <c r="K283" i="8" s="1"/>
  <c r="P176" i="8"/>
  <c r="L176" i="8"/>
  <c r="J92" i="8"/>
  <c r="I751" i="7"/>
  <c r="I387" i="7"/>
  <c r="I377" i="7"/>
  <c r="I232" i="7"/>
  <c r="R668" i="7"/>
  <c r="J671" i="7" s="1"/>
  <c r="I674" i="7" s="1"/>
  <c r="R674" i="8"/>
  <c r="K677" i="8" s="1"/>
  <c r="GK140" i="1"/>
  <c r="J204" i="7"/>
  <c r="K210" i="8"/>
  <c r="U77" i="1"/>
  <c r="AH72" i="1"/>
  <c r="P72" i="8"/>
  <c r="J74" i="8" s="1"/>
  <c r="L72" i="8"/>
  <c r="R139" i="7"/>
  <c r="J142" i="7" s="1"/>
  <c r="I145" i="7" s="1"/>
  <c r="R145" i="8"/>
  <c r="K148" i="8" s="1"/>
  <c r="J151" i="8" s="1"/>
  <c r="T649" i="7"/>
  <c r="J652" i="7" s="1"/>
  <c r="T655" i="8"/>
  <c r="K658" i="8" s="1"/>
  <c r="AL608" i="1"/>
  <c r="T539" i="7"/>
  <c r="J544" i="7" s="1"/>
  <c r="T545" i="8"/>
  <c r="K550" i="8" s="1"/>
  <c r="J552" i="8" s="1"/>
  <c r="S534" i="1"/>
  <c r="I304" i="7"/>
  <c r="P721" i="7"/>
  <c r="K721" i="7"/>
  <c r="T667" i="8"/>
  <c r="K671" i="8" s="1"/>
  <c r="J673" i="8" s="1"/>
  <c r="T661" i="7"/>
  <c r="J665" i="7" s="1"/>
  <c r="I667" i="7" s="1"/>
  <c r="P178" i="7"/>
  <c r="K178" i="7"/>
  <c r="GM648" i="1"/>
  <c r="GP648" i="1" s="1"/>
  <c r="I714" i="7"/>
  <c r="T728" i="8"/>
  <c r="K732" i="8" s="1"/>
  <c r="T722" i="7"/>
  <c r="J726" i="7" s="1"/>
  <c r="R402" i="7"/>
  <c r="J405" i="7" s="1"/>
  <c r="I408" i="7" s="1"/>
  <c r="R408" i="8"/>
  <c r="K411" i="8" s="1"/>
  <c r="I86" i="7"/>
  <c r="T577" i="7"/>
  <c r="J581" i="7" s="1"/>
  <c r="T583" i="8"/>
  <c r="K587" i="8" s="1"/>
  <c r="T378" i="7"/>
  <c r="J384" i="7" s="1"/>
  <c r="T384" i="8"/>
  <c r="K390" i="8" s="1"/>
  <c r="J393" i="8" s="1"/>
  <c r="T371" i="7"/>
  <c r="J375" i="7" s="1"/>
  <c r="T377" i="8"/>
  <c r="K381" i="8" s="1"/>
  <c r="J383" i="8" s="1"/>
  <c r="I546" i="7"/>
  <c r="GK151" i="1"/>
  <c r="J254" i="7"/>
  <c r="K260" i="8"/>
  <c r="GM143" i="1"/>
  <c r="GP143" i="1" s="1"/>
  <c r="K332" i="8"/>
  <c r="GK528" i="1"/>
  <c r="GM528" i="1" s="1"/>
  <c r="GP528" i="1" s="1"/>
  <c r="AE534" i="1"/>
  <c r="T42" i="7"/>
  <c r="J46" i="7" s="1"/>
  <c r="T48" i="8"/>
  <c r="K52" i="8" s="1"/>
  <c r="GM651" i="1"/>
  <c r="GP651" i="1" s="1"/>
  <c r="K157" i="8"/>
  <c r="J160" i="8" s="1"/>
  <c r="GM116" i="1"/>
  <c r="GP116" i="1" s="1"/>
  <c r="R288" i="7"/>
  <c r="J293" i="7" s="1"/>
  <c r="I297" i="7" s="1"/>
  <c r="R294" i="8"/>
  <c r="K299" i="8" s="1"/>
  <c r="I328" i="7"/>
  <c r="I239" i="7"/>
  <c r="GM442" i="1"/>
  <c r="GP442" i="1" s="1"/>
  <c r="AK451" i="1"/>
  <c r="AK429" i="1" s="1"/>
  <c r="R539" i="7"/>
  <c r="J543" i="7" s="1"/>
  <c r="R545" i="8"/>
  <c r="K549" i="8" s="1"/>
  <c r="AL490" i="1"/>
  <c r="T597" i="7"/>
  <c r="J602" i="7" s="1"/>
  <c r="T603" i="8"/>
  <c r="K608" i="8" s="1"/>
  <c r="P520" i="8"/>
  <c r="L520" i="8"/>
  <c r="J265" i="8"/>
  <c r="I554" i="7"/>
  <c r="J245" i="7"/>
  <c r="I248" i="7" s="1"/>
  <c r="R728" i="8"/>
  <c r="K731" i="8" s="1"/>
  <c r="J734" i="8" s="1"/>
  <c r="R722" i="7"/>
  <c r="J725" i="7" s="1"/>
  <c r="L757" i="8"/>
  <c r="P757" i="8"/>
  <c r="J182" i="7"/>
  <c r="K188" i="8"/>
  <c r="GK136" i="1"/>
  <c r="GM136" i="1" s="1"/>
  <c r="GP136" i="1" s="1"/>
  <c r="R305" i="7"/>
  <c r="J308" i="7" s="1"/>
  <c r="R311" i="8"/>
  <c r="K314" i="8" s="1"/>
  <c r="J317" i="8" s="1"/>
  <c r="R42" i="7"/>
  <c r="J45" i="7" s="1"/>
  <c r="I48" i="7" s="1"/>
  <c r="R48" i="8"/>
  <c r="K51" i="8" s="1"/>
  <c r="J54" i="8" s="1"/>
  <c r="J644" i="8"/>
  <c r="J151" i="7"/>
  <c r="T139" i="7"/>
  <c r="J143" i="7" s="1"/>
  <c r="T145" i="8"/>
  <c r="K149" i="8" s="1"/>
  <c r="AL397" i="1"/>
  <c r="Y397" i="1" s="1"/>
  <c r="T478" i="7"/>
  <c r="J483" i="7" s="1"/>
  <c r="T484" i="8"/>
  <c r="K489" i="8" s="1"/>
  <c r="R687" i="7"/>
  <c r="J689" i="7" s="1"/>
  <c r="I692" i="7" s="1"/>
  <c r="R693" i="8"/>
  <c r="K695" i="8" s="1"/>
  <c r="J698" i="8" s="1"/>
  <c r="K259" i="7"/>
  <c r="P259" i="7"/>
  <c r="T225" i="7"/>
  <c r="J230" i="7" s="1"/>
  <c r="T231" i="8"/>
  <c r="K236" i="8" s="1"/>
  <c r="J60" i="7"/>
  <c r="K66" i="8"/>
  <c r="P499" i="8"/>
  <c r="L499" i="8"/>
  <c r="AK490" i="1"/>
  <c r="R597" i="7"/>
  <c r="J601" i="7" s="1"/>
  <c r="R603" i="8"/>
  <c r="K607" i="8" s="1"/>
  <c r="J610" i="8" s="1"/>
  <c r="U199" i="1"/>
  <c r="U68" i="1" s="1"/>
  <c r="U451" i="1"/>
  <c r="F473" i="1" s="1"/>
  <c r="L199" i="8"/>
  <c r="P199" i="8"/>
  <c r="J105" i="8"/>
  <c r="R547" i="7"/>
  <c r="J551" i="7" s="1"/>
  <c r="R553" i="8"/>
  <c r="K557" i="8" s="1"/>
  <c r="J560" i="8" s="1"/>
  <c r="T577" i="8"/>
  <c r="K580" i="8" s="1"/>
  <c r="T571" i="7"/>
  <c r="J574" i="7" s="1"/>
  <c r="R437" i="7"/>
  <c r="J440" i="7" s="1"/>
  <c r="R443" i="8"/>
  <c r="K446" i="8" s="1"/>
  <c r="J449" i="8" s="1"/>
  <c r="T274" i="7"/>
  <c r="J278" i="7" s="1"/>
  <c r="T280" i="8"/>
  <c r="K284" i="8" s="1"/>
  <c r="J286" i="8" s="1"/>
  <c r="L727" i="8"/>
  <c r="P727" i="8"/>
  <c r="L193" i="8"/>
  <c r="P193" i="8"/>
  <c r="P630" i="8"/>
  <c r="L630" i="8"/>
  <c r="GM151" i="1"/>
  <c r="GP151" i="1" s="1"/>
  <c r="I700" i="7"/>
  <c r="L687" i="8"/>
  <c r="P687" i="8"/>
  <c r="R745" i="8"/>
  <c r="K748" i="8" s="1"/>
  <c r="J751" i="8" s="1"/>
  <c r="R739" i="7"/>
  <c r="J742" i="7" s="1"/>
  <c r="I745" i="7" s="1"/>
  <c r="I477" i="7"/>
  <c r="K158" i="8"/>
  <c r="R329" i="7"/>
  <c r="J332" i="7" s="1"/>
  <c r="R335" i="8"/>
  <c r="K338" i="8" s="1"/>
  <c r="J341" i="8" s="1"/>
  <c r="R758" i="7"/>
  <c r="J761" i="7" s="1"/>
  <c r="I764" i="7" s="1"/>
  <c r="R764" i="8"/>
  <c r="K767" i="8" s="1"/>
  <c r="J770" i="8" s="1"/>
  <c r="P138" i="7"/>
  <c r="K138" i="7"/>
  <c r="T74" i="7"/>
  <c r="J77" i="7" s="1"/>
  <c r="I79" i="7" s="1"/>
  <c r="T80" i="8"/>
  <c r="K83" i="8" s="1"/>
  <c r="I265" i="7"/>
  <c r="T266" i="7"/>
  <c r="J271" i="7" s="1"/>
  <c r="T272" i="8"/>
  <c r="K277" i="8" s="1"/>
  <c r="GM29" i="1"/>
  <c r="GP29" i="1" s="1"/>
  <c r="R266" i="7"/>
  <c r="J270" i="7" s="1"/>
  <c r="R272" i="8"/>
  <c r="K276" i="8" s="1"/>
  <c r="J279" i="8" s="1"/>
  <c r="GK75" i="1"/>
  <c r="AL169" i="1"/>
  <c r="T117" i="7"/>
  <c r="J121" i="7" s="1"/>
  <c r="T123" i="8"/>
  <c r="K127" i="8" s="1"/>
  <c r="R752" i="7"/>
  <c r="J754" i="7" s="1"/>
  <c r="I757" i="7" s="1"/>
  <c r="R758" i="8"/>
  <c r="K760" i="8" s="1"/>
  <c r="I273" i="7"/>
  <c r="GM448" i="1"/>
  <c r="GP448" i="1" s="1"/>
  <c r="T437" i="7"/>
  <c r="J441" i="7" s="1"/>
  <c r="T443" i="8"/>
  <c r="K447" i="8" s="1"/>
  <c r="GM654" i="1"/>
  <c r="GP654" i="1" s="1"/>
  <c r="P457" i="8"/>
  <c r="L457" i="8"/>
  <c r="R155" i="7"/>
  <c r="J158" i="7" s="1"/>
  <c r="I161" i="7" s="1"/>
  <c r="R161" i="8"/>
  <c r="K164" i="8" s="1"/>
  <c r="I707" i="7"/>
  <c r="I728" i="7"/>
  <c r="R577" i="7"/>
  <c r="J580" i="7" s="1"/>
  <c r="I583" i="7" s="1"/>
  <c r="R583" i="8"/>
  <c r="K586" i="8" s="1"/>
  <c r="J589" i="8" s="1"/>
  <c r="R218" i="7"/>
  <c r="J221" i="7" s="1"/>
  <c r="R224" i="8"/>
  <c r="K227" i="8" s="1"/>
  <c r="T687" i="7"/>
  <c r="J690" i="7" s="1"/>
  <c r="T693" i="8"/>
  <c r="K696" i="8" s="1"/>
  <c r="R431" i="7"/>
  <c r="J433" i="7" s="1"/>
  <c r="I436" i="7" s="1"/>
  <c r="R437" i="8"/>
  <c r="K439" i="8" s="1"/>
  <c r="GM435" i="1"/>
  <c r="GP435" i="1" s="1"/>
  <c r="T523" i="7"/>
  <c r="J528" i="7" s="1"/>
  <c r="I530" i="7" s="1"/>
  <c r="T529" i="8"/>
  <c r="K534" i="8" s="1"/>
  <c r="J536" i="8" s="1"/>
  <c r="J167" i="8"/>
  <c r="J152" i="7"/>
  <c r="I154" i="7" s="1"/>
  <c r="J680" i="8"/>
  <c r="GM530" i="1"/>
  <c r="GP530" i="1" s="1"/>
  <c r="GM163" i="1"/>
  <c r="GP163" i="1" s="1"/>
  <c r="W231" i="1"/>
  <c r="F286" i="1"/>
  <c r="T431" i="7"/>
  <c r="J434" i="7" s="1"/>
  <c r="T437" i="8"/>
  <c r="K440" i="8" s="1"/>
  <c r="J442" i="8" s="1"/>
  <c r="P144" i="8"/>
  <c r="L144" i="8"/>
  <c r="L359" i="8"/>
  <c r="P359" i="8"/>
  <c r="T571" i="8"/>
  <c r="K574" i="8" s="1"/>
  <c r="T565" i="7"/>
  <c r="J568" i="7" s="1"/>
  <c r="L744" i="8"/>
  <c r="P744" i="8"/>
  <c r="P120" i="8"/>
  <c r="L120" i="8"/>
  <c r="GM432" i="1"/>
  <c r="GP432" i="1" s="1"/>
  <c r="AE77" i="1"/>
  <c r="R77" i="1" s="1"/>
  <c r="GM30" i="1"/>
  <c r="GP30" i="1" s="1"/>
  <c r="GK602" i="1"/>
  <c r="GM602" i="1" s="1"/>
  <c r="GM119" i="1"/>
  <c r="GP119" i="1" s="1"/>
  <c r="R117" i="7"/>
  <c r="J120" i="7" s="1"/>
  <c r="I123" i="7" s="1"/>
  <c r="R123" i="8"/>
  <c r="K126" i="8" s="1"/>
  <c r="T752" i="7"/>
  <c r="J755" i="7" s="1"/>
  <c r="T758" i="8"/>
  <c r="K761" i="8" s="1"/>
  <c r="T462" i="7"/>
  <c r="J467" i="7" s="1"/>
  <c r="T468" i="8"/>
  <c r="K473" i="8" s="1"/>
  <c r="K187" i="7"/>
  <c r="P187" i="7"/>
  <c r="AF640" i="1"/>
  <c r="S656" i="1"/>
  <c r="J706" i="8"/>
  <c r="T409" i="7"/>
  <c r="J413" i="7" s="1"/>
  <c r="I415" i="7" s="1"/>
  <c r="T415" i="8"/>
  <c r="K419" i="8" s="1"/>
  <c r="J230" i="8"/>
  <c r="R87" i="7"/>
  <c r="J90" i="7" s="1"/>
  <c r="I93" i="7" s="1"/>
  <c r="R93" i="8"/>
  <c r="K96" i="8" s="1"/>
  <c r="J99" i="8" s="1"/>
  <c r="I311" i="7"/>
  <c r="J421" i="8"/>
  <c r="J763" i="8"/>
  <c r="J660" i="8"/>
  <c r="I604" i="7"/>
  <c r="P666" i="8"/>
  <c r="L666" i="8"/>
  <c r="J303" i="8"/>
  <c r="J271" i="8"/>
  <c r="P200" i="7"/>
  <c r="K200" i="7"/>
  <c r="GK157" i="1"/>
  <c r="GM157" i="1" s="1"/>
  <c r="GP157" i="1" s="1"/>
  <c r="J291" i="7"/>
  <c r="K297" i="8"/>
  <c r="AB397" i="1"/>
  <c r="GM438" i="1"/>
  <c r="GP438" i="1" s="1"/>
  <c r="AL319" i="1"/>
  <c r="AK397" i="1"/>
  <c r="X397" i="1" s="1"/>
  <c r="R478" i="7"/>
  <c r="J482" i="7" s="1"/>
  <c r="I485" i="7" s="1"/>
  <c r="R484" i="8"/>
  <c r="K488" i="8" s="1"/>
  <c r="J491" i="8" s="1"/>
  <c r="AE169" i="1"/>
  <c r="AE109" i="1" s="1"/>
  <c r="GM257" i="1"/>
  <c r="GP257" i="1" s="1"/>
  <c r="I570" i="7"/>
  <c r="R571" i="7"/>
  <c r="J573" i="7" s="1"/>
  <c r="I576" i="7" s="1"/>
  <c r="R577" i="8"/>
  <c r="K579" i="8" s="1"/>
  <c r="J582" i="8" s="1"/>
  <c r="I443" i="7"/>
  <c r="R74" i="7"/>
  <c r="J76" i="7" s="1"/>
  <c r="R80" i="8"/>
  <c r="K82" i="8" s="1"/>
  <c r="GM306" i="1"/>
  <c r="GP306" i="1" s="1"/>
  <c r="GM447" i="1"/>
  <c r="GP447" i="1" s="1"/>
  <c r="GM144" i="1"/>
  <c r="GP144" i="1" s="1"/>
  <c r="I224" i="7"/>
  <c r="J347" i="7"/>
  <c r="K353" i="8"/>
  <c r="T329" i="7"/>
  <c r="J333" i="7" s="1"/>
  <c r="T335" i="8"/>
  <c r="K339" i="8" s="1"/>
  <c r="AK388" i="1"/>
  <c r="AL109" i="1"/>
  <c r="Y169" i="1"/>
  <c r="Y199" i="1" s="1"/>
  <c r="AL388" i="1"/>
  <c r="O397" i="1"/>
  <c r="AB388" i="1"/>
  <c r="AP294" i="1"/>
  <c r="F573" i="1"/>
  <c r="V298" i="1"/>
  <c r="F342" i="1"/>
  <c r="V564" i="1"/>
  <c r="F699" i="1"/>
  <c r="BB596" i="1"/>
  <c r="AC600" i="1"/>
  <c r="CE608" i="1"/>
  <c r="CF608" i="1"/>
  <c r="CH608" i="1"/>
  <c r="P608" i="1"/>
  <c r="O534" i="1"/>
  <c r="AB522" i="1"/>
  <c r="GM486" i="1"/>
  <c r="AB490" i="1"/>
  <c r="U26" i="1"/>
  <c r="F58" i="1"/>
  <c r="F89" i="1"/>
  <c r="Q72" i="1"/>
  <c r="F709" i="1"/>
  <c r="V596" i="1"/>
  <c r="CA451" i="1"/>
  <c r="GP431" i="1"/>
  <c r="CD451" i="1" s="1"/>
  <c r="CI388" i="1"/>
  <c r="AZ397" i="1"/>
  <c r="AX26" i="1"/>
  <c r="F43" i="1"/>
  <c r="F60" i="1"/>
  <c r="W26" i="1"/>
  <c r="AB608" i="1"/>
  <c r="AS596" i="1"/>
  <c r="F703" i="1"/>
  <c r="AQ68" i="1"/>
  <c r="F209" i="1"/>
  <c r="F407" i="1"/>
  <c r="AQ388" i="1"/>
  <c r="F629" i="1"/>
  <c r="T686" i="1"/>
  <c r="T600" i="1"/>
  <c r="GP524" i="1"/>
  <c r="F673" i="1"/>
  <c r="AS640" i="1"/>
  <c r="P231" i="1"/>
  <c r="F265" i="1"/>
  <c r="F511" i="1"/>
  <c r="T483" i="1"/>
  <c r="AY262" i="1"/>
  <c r="CH231" i="1"/>
  <c r="AD298" i="1"/>
  <c r="Q319" i="1"/>
  <c r="AD640" i="1"/>
  <c r="Q656" i="1"/>
  <c r="CG388" i="1"/>
  <c r="AX397" i="1"/>
  <c r="V429" i="1"/>
  <c r="F474" i="1"/>
  <c r="X72" i="1"/>
  <c r="F103" i="1"/>
  <c r="AT600" i="1"/>
  <c r="F626" i="1"/>
  <c r="AT686" i="1"/>
  <c r="AT716" i="1" s="1"/>
  <c r="AL231" i="1"/>
  <c r="Y262" i="1"/>
  <c r="CA36" i="1"/>
  <c r="GP32" i="1"/>
  <c r="CD36" i="1" s="1"/>
  <c r="GP390" i="1"/>
  <c r="AW490" i="1"/>
  <c r="CF483" i="1"/>
  <c r="AX522" i="1"/>
  <c r="F541" i="1"/>
  <c r="S522" i="1"/>
  <c r="F549" i="1"/>
  <c r="BD294" i="1"/>
  <c r="F589" i="1"/>
  <c r="BD68" i="1"/>
  <c r="F224" i="1"/>
  <c r="BD716" i="1"/>
  <c r="Q388" i="1"/>
  <c r="F409" i="1"/>
  <c r="U231" i="1"/>
  <c r="F284" i="1"/>
  <c r="F513" i="1"/>
  <c r="V483" i="1"/>
  <c r="F711" i="1"/>
  <c r="BD596" i="1"/>
  <c r="X640" i="1"/>
  <c r="F682" i="1"/>
  <c r="F84" i="1"/>
  <c r="AX72" i="1"/>
  <c r="AX199" i="1"/>
  <c r="CE231" i="1"/>
  <c r="AV262" i="1"/>
  <c r="AZ319" i="1"/>
  <c r="CI298" i="1"/>
  <c r="W298" i="1"/>
  <c r="F343" i="1"/>
  <c r="W564" i="1"/>
  <c r="W716" i="1" s="1"/>
  <c r="AX109" i="1"/>
  <c r="F176" i="1"/>
  <c r="F51" i="1"/>
  <c r="S26" i="1"/>
  <c r="BA522" i="1"/>
  <c r="F554" i="1"/>
  <c r="F88" i="1"/>
  <c r="AZ72" i="1"/>
  <c r="AZ199" i="1"/>
  <c r="AY351" i="1"/>
  <c r="F364" i="1"/>
  <c r="S490" i="1"/>
  <c r="AF483" i="1"/>
  <c r="U298" i="1"/>
  <c r="F341" i="1"/>
  <c r="F339" i="1"/>
  <c r="BA298" i="1"/>
  <c r="BA564" i="1"/>
  <c r="V109" i="1"/>
  <c r="F192" i="1"/>
  <c r="AF109" i="1"/>
  <c r="S169" i="1"/>
  <c r="Q483" i="1"/>
  <c r="F502" i="1"/>
  <c r="CI522" i="1"/>
  <c r="AZ534" i="1"/>
  <c r="CE522" i="1"/>
  <c r="AV534" i="1"/>
  <c r="AK522" i="1"/>
  <c r="X534" i="1"/>
  <c r="CH522" i="1"/>
  <c r="AY534" i="1"/>
  <c r="R608" i="1"/>
  <c r="AE600" i="1"/>
  <c r="R262" i="1"/>
  <c r="AE231" i="1"/>
  <c r="GM642" i="1"/>
  <c r="AB656" i="1"/>
  <c r="X231" i="1"/>
  <c r="F288" i="1"/>
  <c r="AL483" i="1"/>
  <c r="Y490" i="1"/>
  <c r="AE26" i="1"/>
  <c r="R36" i="1"/>
  <c r="BC596" i="1"/>
  <c r="F702" i="1"/>
  <c r="W388" i="1"/>
  <c r="F421" i="1"/>
  <c r="GM112" i="1"/>
  <c r="AB169" i="1"/>
  <c r="AL429" i="1"/>
  <c r="Y451" i="1"/>
  <c r="T231" i="1"/>
  <c r="F283" i="1"/>
  <c r="U388" i="1"/>
  <c r="F419" i="1"/>
  <c r="AB77" i="1"/>
  <c r="GM75" i="1"/>
  <c r="BB68" i="1"/>
  <c r="F212" i="1"/>
  <c r="BB716" i="1"/>
  <c r="BA388" i="1"/>
  <c r="F417" i="1"/>
  <c r="F514" i="1"/>
  <c r="W483" i="1"/>
  <c r="F48" i="1"/>
  <c r="Q26" i="1"/>
  <c r="AE298" i="1"/>
  <c r="R319" i="1"/>
  <c r="AQ640" i="1"/>
  <c r="F666" i="1"/>
  <c r="CF522" i="1"/>
  <c r="AW534" i="1"/>
  <c r="BC68" i="1"/>
  <c r="F215" i="1"/>
  <c r="AF388" i="1"/>
  <c r="S397" i="1"/>
  <c r="CE656" i="1"/>
  <c r="AC640" i="1"/>
  <c r="P656" i="1"/>
  <c r="CF656" i="1"/>
  <c r="CH656" i="1"/>
  <c r="X490" i="1"/>
  <c r="AK483" i="1"/>
  <c r="AQ298" i="1"/>
  <c r="F329" i="1"/>
  <c r="AQ564" i="1"/>
  <c r="P397" i="1"/>
  <c r="AC388" i="1"/>
  <c r="CE397" i="1"/>
  <c r="CF397" i="1"/>
  <c r="CH397" i="1"/>
  <c r="BA231" i="1"/>
  <c r="F282" i="1"/>
  <c r="P26" i="1"/>
  <c r="F39" i="1"/>
  <c r="Q429" i="1"/>
  <c r="F463" i="1"/>
  <c r="Y522" i="1"/>
  <c r="F561" i="1"/>
  <c r="U596" i="1"/>
  <c r="F708" i="1"/>
  <c r="AP68" i="1"/>
  <c r="F208" i="1"/>
  <c r="Y72" i="1"/>
  <c r="F104" i="1"/>
  <c r="AZ26" i="1"/>
  <c r="F47" i="1"/>
  <c r="CG298" i="1"/>
  <c r="AX319" i="1"/>
  <c r="F493" i="1"/>
  <c r="P483" i="1"/>
  <c r="AE640" i="1"/>
  <c r="R656" i="1"/>
  <c r="V522" i="1"/>
  <c r="F557" i="1"/>
  <c r="AZ640" i="1"/>
  <c r="F667" i="1"/>
  <c r="Q262" i="1"/>
  <c r="AD231" i="1"/>
  <c r="F273" i="1"/>
  <c r="AZ231" i="1"/>
  <c r="CH26" i="1"/>
  <c r="AY36" i="1"/>
  <c r="F472" i="1"/>
  <c r="T429" i="1"/>
  <c r="T72" i="1"/>
  <c r="F98" i="1"/>
  <c r="T199" i="1"/>
  <c r="AS429" i="1"/>
  <c r="F468" i="1"/>
  <c r="F628" i="1"/>
  <c r="BA686" i="1"/>
  <c r="BA600" i="1"/>
  <c r="O36" i="1"/>
  <c r="AB26" i="1"/>
  <c r="AX231" i="1"/>
  <c r="F269" i="1"/>
  <c r="F679" i="1"/>
  <c r="V640" i="1"/>
  <c r="AT429" i="1"/>
  <c r="F469" i="1"/>
  <c r="AG109" i="1"/>
  <c r="T169" i="1"/>
  <c r="AO68" i="1"/>
  <c r="F203" i="1"/>
  <c r="AO716" i="1"/>
  <c r="Q608" i="1"/>
  <c r="AD600" i="1"/>
  <c r="S451" i="1"/>
  <c r="S564" i="1" s="1"/>
  <c r="AF429" i="1"/>
  <c r="F632" i="1"/>
  <c r="W600" i="1"/>
  <c r="W686" i="1"/>
  <c r="CG640" i="1"/>
  <c r="AX656" i="1"/>
  <c r="W68" i="1"/>
  <c r="F223" i="1"/>
  <c r="F680" i="1"/>
  <c r="W640" i="1"/>
  <c r="P522" i="1"/>
  <c r="F537" i="1"/>
  <c r="GM439" i="1"/>
  <c r="GP439" i="1" s="1"/>
  <c r="F510" i="1"/>
  <c r="BA483" i="1"/>
  <c r="GM300" i="1"/>
  <c r="AB319" i="1"/>
  <c r="F334" i="1"/>
  <c r="S298" i="1"/>
  <c r="F475" i="1"/>
  <c r="W429" i="1"/>
  <c r="CG429" i="1"/>
  <c r="AX451" i="1"/>
  <c r="AZ109" i="1"/>
  <c r="F180" i="1"/>
  <c r="CF26" i="1"/>
  <c r="AW36" i="1"/>
  <c r="BA109" i="1"/>
  <c r="BA199" i="1"/>
  <c r="F189" i="1"/>
  <c r="AC109" i="1"/>
  <c r="CE169" i="1"/>
  <c r="CF169" i="1"/>
  <c r="CH169" i="1"/>
  <c r="P169" i="1"/>
  <c r="AS294" i="1"/>
  <c r="F581" i="1"/>
  <c r="U109" i="1"/>
  <c r="F191" i="1"/>
  <c r="AT294" i="1"/>
  <c r="F582" i="1"/>
  <c r="AB451" i="1"/>
  <c r="CE77" i="1"/>
  <c r="CF77" i="1"/>
  <c r="CH77" i="1"/>
  <c r="AC72" i="1"/>
  <c r="P77" i="1"/>
  <c r="AD109" i="1"/>
  <c r="Q169" i="1"/>
  <c r="CH483" i="1"/>
  <c r="AY490" i="1"/>
  <c r="AK169" i="1"/>
  <c r="AT68" i="1"/>
  <c r="F217" i="1"/>
  <c r="CE483" i="1"/>
  <c r="AV490" i="1"/>
  <c r="AL298" i="1"/>
  <c r="Y319" i="1"/>
  <c r="CF319" i="1"/>
  <c r="CH319" i="1"/>
  <c r="P319" i="1"/>
  <c r="AC298" i="1"/>
  <c r="CE319" i="1"/>
  <c r="AK298" i="1"/>
  <c r="X319" i="1"/>
  <c r="GM235" i="1"/>
  <c r="AB262" i="1"/>
  <c r="AQ686" i="1"/>
  <c r="AX600" i="1"/>
  <c r="F615" i="1"/>
  <c r="CI429" i="1"/>
  <c r="AZ451" i="1"/>
  <c r="W109" i="1"/>
  <c r="F193" i="1"/>
  <c r="AV36" i="1"/>
  <c r="CE26" i="1"/>
  <c r="AE72" i="1"/>
  <c r="AW262" i="1"/>
  <c r="CF231" i="1"/>
  <c r="T298" i="1"/>
  <c r="F340" i="1"/>
  <c r="T564" i="1"/>
  <c r="AZ686" i="1"/>
  <c r="AZ600" i="1"/>
  <c r="F619" i="1"/>
  <c r="GM392" i="1"/>
  <c r="GP392" i="1" s="1"/>
  <c r="AE429" i="1"/>
  <c r="R451" i="1"/>
  <c r="F363" i="1"/>
  <c r="AX351" i="1"/>
  <c r="F543" i="1"/>
  <c r="AP522" i="1"/>
  <c r="F420" i="1"/>
  <c r="V388" i="1"/>
  <c r="BC22" i="1"/>
  <c r="F732" i="1"/>
  <c r="BC746" i="1"/>
  <c r="R490" i="1"/>
  <c r="AE483" i="1"/>
  <c r="S231" i="1"/>
  <c r="F277" i="1"/>
  <c r="X608" i="1"/>
  <c r="AK600" i="1"/>
  <c r="AS68" i="1"/>
  <c r="F216" i="1"/>
  <c r="AQ429" i="1"/>
  <c r="F461" i="1"/>
  <c r="AX483" i="1"/>
  <c r="F497" i="1"/>
  <c r="V199" i="1"/>
  <c r="AC429" i="1"/>
  <c r="P451" i="1"/>
  <c r="CE451" i="1"/>
  <c r="CF451" i="1"/>
  <c r="CH451" i="1"/>
  <c r="F53" i="1"/>
  <c r="AS26" i="1"/>
  <c r="AS716" i="1"/>
  <c r="S600" i="1"/>
  <c r="F623" i="1"/>
  <c r="BC294" i="1"/>
  <c r="F580" i="1"/>
  <c r="T388" i="1"/>
  <c r="F418" i="1"/>
  <c r="P48" i="7" l="1"/>
  <c r="K48" i="7"/>
  <c r="L552" i="8"/>
  <c r="P552" i="8"/>
  <c r="P475" i="8"/>
  <c r="L475" i="8"/>
  <c r="P734" i="8"/>
  <c r="L734" i="8"/>
  <c r="K408" i="7"/>
  <c r="P408" i="7"/>
  <c r="I643" i="7" s="1"/>
  <c r="K297" i="7"/>
  <c r="P297" i="7"/>
  <c r="P764" i="7"/>
  <c r="K764" i="7"/>
  <c r="L341" i="8"/>
  <c r="P341" i="8"/>
  <c r="K576" i="7"/>
  <c r="P576" i="7"/>
  <c r="P99" i="8"/>
  <c r="L99" i="8"/>
  <c r="P286" i="8"/>
  <c r="L286" i="8"/>
  <c r="K93" i="7"/>
  <c r="P93" i="7"/>
  <c r="L589" i="8"/>
  <c r="P589" i="8"/>
  <c r="L751" i="8"/>
  <c r="P751" i="8"/>
  <c r="P610" i="8"/>
  <c r="J612" i="8" s="1"/>
  <c r="L610" i="8"/>
  <c r="K692" i="7"/>
  <c r="P692" i="7"/>
  <c r="P160" i="8"/>
  <c r="L160" i="8"/>
  <c r="P41" i="7"/>
  <c r="K41" i="7"/>
  <c r="L238" i="8"/>
  <c r="P238" i="8"/>
  <c r="K436" i="7"/>
  <c r="P436" i="7"/>
  <c r="P154" i="7"/>
  <c r="K154" i="7"/>
  <c r="K583" i="7"/>
  <c r="P583" i="7"/>
  <c r="P112" i="8"/>
  <c r="L112" i="8"/>
  <c r="L245" i="8"/>
  <c r="P245" i="8"/>
  <c r="P279" i="8"/>
  <c r="L279" i="8"/>
  <c r="P79" i="7"/>
  <c r="K79" i="7"/>
  <c r="P151" i="8"/>
  <c r="L151" i="8"/>
  <c r="P491" i="8"/>
  <c r="L491" i="8"/>
  <c r="P536" i="8"/>
  <c r="L536" i="8"/>
  <c r="K667" i="7"/>
  <c r="P667" i="7"/>
  <c r="L442" i="8"/>
  <c r="P442" i="8"/>
  <c r="P393" i="8"/>
  <c r="L393" i="8"/>
  <c r="P485" i="7"/>
  <c r="K485" i="7"/>
  <c r="P530" i="7"/>
  <c r="K530" i="7"/>
  <c r="L673" i="8"/>
  <c r="P673" i="8"/>
  <c r="P123" i="7"/>
  <c r="K123" i="7"/>
  <c r="P757" i="7"/>
  <c r="K757" i="7"/>
  <c r="K161" i="7"/>
  <c r="P161" i="7"/>
  <c r="L770" i="8"/>
  <c r="P770" i="8"/>
  <c r="P560" i="8"/>
  <c r="L560" i="8"/>
  <c r="K562" i="7"/>
  <c r="P562" i="7"/>
  <c r="U564" i="1"/>
  <c r="U294" i="1" s="1"/>
  <c r="K443" i="7"/>
  <c r="P443" i="7"/>
  <c r="L660" i="8"/>
  <c r="P660" i="8"/>
  <c r="P706" i="8"/>
  <c r="L706" i="8"/>
  <c r="P273" i="7"/>
  <c r="K273" i="7"/>
  <c r="K265" i="7"/>
  <c r="P265" i="7"/>
  <c r="P745" i="7"/>
  <c r="K745" i="7"/>
  <c r="L644" i="8"/>
  <c r="P644" i="8"/>
  <c r="R534" i="1"/>
  <c r="AE522" i="1"/>
  <c r="K674" i="7"/>
  <c r="P674" i="7"/>
  <c r="I280" i="7"/>
  <c r="K370" i="7"/>
  <c r="P370" i="7"/>
  <c r="P114" i="7"/>
  <c r="K114" i="7"/>
  <c r="P763" i="8"/>
  <c r="L763" i="8"/>
  <c r="P54" i="8"/>
  <c r="L54" i="8"/>
  <c r="P106" i="7"/>
  <c r="K106" i="7"/>
  <c r="K377" i="7"/>
  <c r="P377" i="7"/>
  <c r="P311" i="7"/>
  <c r="K311" i="7"/>
  <c r="K554" i="7"/>
  <c r="P554" i="7"/>
  <c r="P469" i="7"/>
  <c r="I503" i="7" s="1"/>
  <c r="K469" i="7"/>
  <c r="P493" i="7"/>
  <c r="K493" i="7"/>
  <c r="K654" i="7"/>
  <c r="P654" i="7"/>
  <c r="CD534" i="1"/>
  <c r="P700" i="7"/>
  <c r="K700" i="7"/>
  <c r="L265" i="8"/>
  <c r="P265" i="8"/>
  <c r="P751" i="7"/>
  <c r="K751" i="7"/>
  <c r="L184" i="8"/>
  <c r="P184" i="8"/>
  <c r="P325" i="8"/>
  <c r="L325" i="8"/>
  <c r="P217" i="7"/>
  <c r="K217" i="7"/>
  <c r="P591" i="7"/>
  <c r="K591" i="7"/>
  <c r="K66" i="7"/>
  <c r="P66" i="7"/>
  <c r="L421" i="8"/>
  <c r="P421" i="8"/>
  <c r="L698" i="8"/>
  <c r="P698" i="8"/>
  <c r="K570" i="7"/>
  <c r="P570" i="7"/>
  <c r="P317" i="8"/>
  <c r="L317" i="8"/>
  <c r="P387" i="7"/>
  <c r="K387" i="7"/>
  <c r="L576" i="8"/>
  <c r="P576" i="8"/>
  <c r="K430" i="7"/>
  <c r="P430" i="7"/>
  <c r="U429" i="1"/>
  <c r="F683" i="1"/>
  <c r="K304" i="7"/>
  <c r="P304" i="7"/>
  <c r="J334" i="8"/>
  <c r="L637" i="8"/>
  <c r="P637" i="8"/>
  <c r="P597" i="8"/>
  <c r="L597" i="8"/>
  <c r="L376" i="8"/>
  <c r="P376" i="8"/>
  <c r="J395" i="8" s="1"/>
  <c r="L582" i="8"/>
  <c r="P582" i="8"/>
  <c r="P232" i="7"/>
  <c r="K232" i="7"/>
  <c r="P145" i="7"/>
  <c r="K145" i="7"/>
  <c r="P224" i="7"/>
  <c r="K224" i="7"/>
  <c r="L271" i="8"/>
  <c r="P271" i="8"/>
  <c r="J599" i="8"/>
  <c r="X36" i="1"/>
  <c r="AK26" i="1"/>
  <c r="P624" i="7"/>
  <c r="I640" i="7" s="1"/>
  <c r="K624" i="7"/>
  <c r="P210" i="7"/>
  <c r="K210" i="7"/>
  <c r="P713" i="8"/>
  <c r="J772" i="8" s="1"/>
  <c r="L713" i="8"/>
  <c r="J310" i="8"/>
  <c r="K353" i="7"/>
  <c r="P353" i="7"/>
  <c r="J646" i="8"/>
  <c r="S640" i="1"/>
  <c r="F671" i="1"/>
  <c r="Y36" i="1"/>
  <c r="AL26" i="1"/>
  <c r="K707" i="7"/>
  <c r="P707" i="7"/>
  <c r="L303" i="8"/>
  <c r="P303" i="8"/>
  <c r="P546" i="7"/>
  <c r="K546" i="7"/>
  <c r="U72" i="1"/>
  <c r="F99" i="1"/>
  <c r="P92" i="8"/>
  <c r="L92" i="8"/>
  <c r="L568" i="8"/>
  <c r="P568" i="8"/>
  <c r="J414" i="8"/>
  <c r="L216" i="8"/>
  <c r="P216" i="8"/>
  <c r="K248" i="7"/>
  <c r="P248" i="7"/>
  <c r="F695" i="1"/>
  <c r="AP596" i="1"/>
  <c r="P230" i="8"/>
  <c r="L230" i="8"/>
  <c r="I335" i="7"/>
  <c r="P383" i="8"/>
  <c r="L383" i="8"/>
  <c r="P714" i="7"/>
  <c r="K714" i="7"/>
  <c r="P136" i="8"/>
  <c r="L136" i="8"/>
  <c r="P501" i="7"/>
  <c r="K501" i="7"/>
  <c r="R397" i="1"/>
  <c r="AE388" i="1"/>
  <c r="L167" i="8"/>
  <c r="P167" i="8"/>
  <c r="K728" i="7"/>
  <c r="P728" i="7"/>
  <c r="K86" i="7"/>
  <c r="P86" i="7"/>
  <c r="L449" i="8"/>
  <c r="P449" i="8"/>
  <c r="P328" i="7"/>
  <c r="K328" i="7"/>
  <c r="R169" i="1"/>
  <c r="R109" i="1" s="1"/>
  <c r="L105" i="8"/>
  <c r="P105" i="8"/>
  <c r="Y608" i="1"/>
  <c r="AL600" i="1"/>
  <c r="P170" i="7"/>
  <c r="K170" i="7"/>
  <c r="S72" i="1"/>
  <c r="F92" i="1"/>
  <c r="L47" i="8"/>
  <c r="P47" i="8"/>
  <c r="K239" i="7"/>
  <c r="P239" i="7"/>
  <c r="X451" i="1"/>
  <c r="F221" i="1"/>
  <c r="J85" i="8"/>
  <c r="J129" i="8"/>
  <c r="P477" i="7"/>
  <c r="K477" i="7"/>
  <c r="CA534" i="1"/>
  <c r="AR534" i="1" s="1"/>
  <c r="S686" i="1"/>
  <c r="K604" i="7"/>
  <c r="P604" i="7"/>
  <c r="I606" i="7" s="1"/>
  <c r="P415" i="7"/>
  <c r="K415" i="7"/>
  <c r="L680" i="8"/>
  <c r="P680" i="8"/>
  <c r="J509" i="8"/>
  <c r="P223" i="8"/>
  <c r="L223" i="8"/>
  <c r="S109" i="1"/>
  <c r="S199" i="1"/>
  <c r="F184" i="1"/>
  <c r="W22" i="1"/>
  <c r="W746" i="1"/>
  <c r="F740" i="1"/>
  <c r="X429" i="1"/>
  <c r="F477" i="1"/>
  <c r="AZ68" i="1"/>
  <c r="F210" i="1"/>
  <c r="AB483" i="1"/>
  <c r="O490" i="1"/>
  <c r="AB640" i="1"/>
  <c r="O656" i="1"/>
  <c r="GP486" i="1"/>
  <c r="CD490" i="1" s="1"/>
  <c r="CA490" i="1"/>
  <c r="F276" i="1"/>
  <c r="R231" i="1"/>
  <c r="AU534" i="1"/>
  <c r="CD522" i="1"/>
  <c r="AY483" i="1"/>
  <c r="F498" i="1"/>
  <c r="R298" i="1"/>
  <c r="F333" i="1"/>
  <c r="CA656" i="1"/>
  <c r="GP642" i="1"/>
  <c r="CD656" i="1" s="1"/>
  <c r="CH640" i="1"/>
  <c r="AY656" i="1"/>
  <c r="P72" i="1"/>
  <c r="F80" i="1"/>
  <c r="P199" i="1"/>
  <c r="F399" i="1"/>
  <c r="O388" i="1"/>
  <c r="GP602" i="1"/>
  <c r="CD608" i="1" s="1"/>
  <c r="CA608" i="1"/>
  <c r="BA294" i="1"/>
  <c r="F584" i="1"/>
  <c r="S294" i="1"/>
  <c r="F579" i="1"/>
  <c r="AW483" i="1"/>
  <c r="F496" i="1"/>
  <c r="T596" i="1"/>
  <c r="F707" i="1"/>
  <c r="F408" i="1"/>
  <c r="AZ388" i="1"/>
  <c r="P686" i="1"/>
  <c r="F611" i="1"/>
  <c r="P600" i="1"/>
  <c r="Y388" i="1"/>
  <c r="F424" i="1"/>
  <c r="O608" i="1"/>
  <c r="AB600" i="1"/>
  <c r="CH109" i="1"/>
  <c r="AY169" i="1"/>
  <c r="CF109" i="1"/>
  <c r="AW169" i="1"/>
  <c r="CE298" i="1"/>
  <c r="AV319" i="1"/>
  <c r="F659" i="1"/>
  <c r="P640" i="1"/>
  <c r="CE640" i="1"/>
  <c r="AV656" i="1"/>
  <c r="AX388" i="1"/>
  <c r="F404" i="1"/>
  <c r="AV77" i="1"/>
  <c r="CE72" i="1"/>
  <c r="F412" i="1"/>
  <c r="S388" i="1"/>
  <c r="BA596" i="1"/>
  <c r="F706" i="1"/>
  <c r="AU451" i="1"/>
  <c r="CD429" i="1"/>
  <c r="CF600" i="1"/>
  <c r="AW608" i="1"/>
  <c r="Y109" i="1"/>
  <c r="F196" i="1"/>
  <c r="R640" i="1"/>
  <c r="F670" i="1"/>
  <c r="AX68" i="1"/>
  <c r="F206" i="1"/>
  <c r="F516" i="1"/>
  <c r="X483" i="1"/>
  <c r="CH72" i="1"/>
  <c r="AY77" i="1"/>
  <c r="F466" i="1"/>
  <c r="S429" i="1"/>
  <c r="CD397" i="1"/>
  <c r="R26" i="1"/>
  <c r="F50" i="1"/>
  <c r="CD26" i="1"/>
  <c r="AU36" i="1"/>
  <c r="Q298" i="1"/>
  <c r="F331" i="1"/>
  <c r="Q564" i="1"/>
  <c r="CA429" i="1"/>
  <c r="AR451" i="1"/>
  <c r="CE600" i="1"/>
  <c r="AV608" i="1"/>
  <c r="GP235" i="1"/>
  <c r="CD262" i="1" s="1"/>
  <c r="CA262" i="1"/>
  <c r="F91" i="1"/>
  <c r="R72" i="1"/>
  <c r="R199" i="1"/>
  <c r="Y429" i="1"/>
  <c r="F478" i="1"/>
  <c r="AX640" i="1"/>
  <c r="F663" i="1"/>
  <c r="AX298" i="1"/>
  <c r="F326" i="1"/>
  <c r="AX564" i="1"/>
  <c r="R429" i="1"/>
  <c r="F465" i="1"/>
  <c r="F542" i="1"/>
  <c r="AY522" i="1"/>
  <c r="AW319" i="1"/>
  <c r="CF298" i="1"/>
  <c r="F634" i="1"/>
  <c r="X600" i="1"/>
  <c r="X686" i="1"/>
  <c r="F38" i="1"/>
  <c r="O26" i="1"/>
  <c r="BB22" i="1"/>
  <c r="F729" i="1"/>
  <c r="BB746" i="1"/>
  <c r="Q640" i="1"/>
  <c r="F668" i="1"/>
  <c r="AW397" i="1"/>
  <c r="CF388" i="1"/>
  <c r="W294" i="1"/>
  <c r="F588" i="1"/>
  <c r="AW522" i="1"/>
  <c r="F540" i="1"/>
  <c r="GP75" i="1"/>
  <c r="CD77" i="1" s="1"/>
  <c r="CA77" i="1"/>
  <c r="F517" i="1"/>
  <c r="Y483" i="1"/>
  <c r="AZ522" i="1"/>
  <c r="F545" i="1"/>
  <c r="AR36" i="1"/>
  <c r="CA26" i="1"/>
  <c r="X388" i="1"/>
  <c r="F423" i="1"/>
  <c r="V68" i="1"/>
  <c r="F222" i="1"/>
  <c r="V716" i="1"/>
  <c r="CE109" i="1"/>
  <c r="AV169" i="1"/>
  <c r="CF640" i="1"/>
  <c r="AW656" i="1"/>
  <c r="P298" i="1"/>
  <c r="P564" i="1"/>
  <c r="F322" i="1"/>
  <c r="R686" i="1"/>
  <c r="R600" i="1"/>
  <c r="F622" i="1"/>
  <c r="AS22" i="1"/>
  <c r="F733" i="1"/>
  <c r="E16" i="2" s="1"/>
  <c r="AS746" i="1"/>
  <c r="BA68" i="1"/>
  <c r="F219" i="1"/>
  <c r="BA716" i="1"/>
  <c r="AW77" i="1"/>
  <c r="CF72" i="1"/>
  <c r="O522" i="1"/>
  <c r="F536" i="1"/>
  <c r="Y298" i="1"/>
  <c r="F346" i="1"/>
  <c r="Y564" i="1"/>
  <c r="GP300" i="1"/>
  <c r="CD319" i="1" s="1"/>
  <c r="CA319" i="1"/>
  <c r="CH600" i="1"/>
  <c r="AY608" i="1"/>
  <c r="CA397" i="1"/>
  <c r="AP22" i="1"/>
  <c r="AP746" i="1"/>
  <c r="F725" i="1"/>
  <c r="G16" i="2" s="1"/>
  <c r="G18" i="2" s="1"/>
  <c r="AV397" i="1"/>
  <c r="CE388" i="1"/>
  <c r="T294" i="1"/>
  <c r="F585" i="1"/>
  <c r="CE429" i="1"/>
  <c r="AV451" i="1"/>
  <c r="P388" i="1"/>
  <c r="F400" i="1"/>
  <c r="AB72" i="1"/>
  <c r="O77" i="1"/>
  <c r="F505" i="1"/>
  <c r="S483" i="1"/>
  <c r="Y231" i="1"/>
  <c r="F289" i="1"/>
  <c r="F268" i="1"/>
  <c r="AW231" i="1"/>
  <c r="Q109" i="1"/>
  <c r="F181" i="1"/>
  <c r="F44" i="1"/>
  <c r="AY26" i="1"/>
  <c r="GP112" i="1"/>
  <c r="CD169" i="1" s="1"/>
  <c r="CA169" i="1"/>
  <c r="AV26" i="1"/>
  <c r="F41" i="1"/>
  <c r="O451" i="1"/>
  <c r="AB429" i="1"/>
  <c r="Y68" i="1"/>
  <c r="F226" i="1"/>
  <c r="F274" i="1"/>
  <c r="Q231" i="1"/>
  <c r="AZ596" i="1"/>
  <c r="F697" i="1"/>
  <c r="CF429" i="1"/>
  <c r="AW451" i="1"/>
  <c r="AT22" i="1"/>
  <c r="AT746" i="1"/>
  <c r="F734" i="1"/>
  <c r="F16" i="2" s="1"/>
  <c r="F18" i="2" s="1"/>
  <c r="AO22" i="1"/>
  <c r="AO746" i="1"/>
  <c r="F720" i="1"/>
  <c r="T68" i="1"/>
  <c r="F220" i="1"/>
  <c r="T716" i="1"/>
  <c r="AQ294" i="1"/>
  <c r="F574" i="1"/>
  <c r="AQ716" i="1"/>
  <c r="AZ298" i="1"/>
  <c r="F330" i="1"/>
  <c r="AZ564" i="1"/>
  <c r="BD22" i="1"/>
  <c r="BD746" i="1"/>
  <c r="F741" i="1"/>
  <c r="F270" i="1"/>
  <c r="AY231" i="1"/>
  <c r="Q199" i="1"/>
  <c r="P109" i="1"/>
  <c r="F172" i="1"/>
  <c r="X298" i="1"/>
  <c r="F345" i="1"/>
  <c r="X564" i="1"/>
  <c r="AB109" i="1"/>
  <c r="O169" i="1"/>
  <c r="S596" i="1"/>
  <c r="F701" i="1"/>
  <c r="F710" i="1"/>
  <c r="W596" i="1"/>
  <c r="AY319" i="1"/>
  <c r="CH298" i="1"/>
  <c r="AZ716" i="1"/>
  <c r="O319" i="1"/>
  <c r="AB298" i="1"/>
  <c r="X522" i="1"/>
  <c r="F560" i="1"/>
  <c r="AZ429" i="1"/>
  <c r="F462" i="1"/>
  <c r="CH388" i="1"/>
  <c r="AY397" i="1"/>
  <c r="AV483" i="1"/>
  <c r="F495" i="1"/>
  <c r="AV522" i="1"/>
  <c r="F539" i="1"/>
  <c r="CH429" i="1"/>
  <c r="AY451" i="1"/>
  <c r="AW26" i="1"/>
  <c r="F42" i="1"/>
  <c r="Q686" i="1"/>
  <c r="Q600" i="1"/>
  <c r="F620" i="1"/>
  <c r="R483" i="1"/>
  <c r="F504" i="1"/>
  <c r="AX686" i="1"/>
  <c r="BC18" i="1"/>
  <c r="F762" i="1"/>
  <c r="F454" i="1"/>
  <c r="P429" i="1"/>
  <c r="F696" i="1"/>
  <c r="AQ596" i="1"/>
  <c r="O262" i="1"/>
  <c r="AB231" i="1"/>
  <c r="AK109" i="1"/>
  <c r="X169" i="1"/>
  <c r="AX429" i="1"/>
  <c r="F458" i="1"/>
  <c r="T109" i="1"/>
  <c r="F190" i="1"/>
  <c r="AV231" i="1"/>
  <c r="F267" i="1"/>
  <c r="F704" i="1"/>
  <c r="AT596" i="1"/>
  <c r="V294" i="1"/>
  <c r="F587" i="1"/>
  <c r="J56" i="8" l="1"/>
  <c r="F183" i="1"/>
  <c r="L310" i="8"/>
  <c r="P310" i="8"/>
  <c r="I50" i="7"/>
  <c r="I766" i="7"/>
  <c r="I389" i="7"/>
  <c r="I593" i="7"/>
  <c r="J346" i="8"/>
  <c r="I68" i="7"/>
  <c r="P334" i="8"/>
  <c r="L334" i="8"/>
  <c r="P280" i="7"/>
  <c r="I772" i="7" s="1"/>
  <c r="K280" i="7"/>
  <c r="F586" i="1"/>
  <c r="L414" i="8"/>
  <c r="P414" i="8"/>
  <c r="I337" i="7"/>
  <c r="I769" i="7"/>
  <c r="I683" i="7"/>
  <c r="P129" i="8"/>
  <c r="L129" i="8"/>
  <c r="P85" i="8"/>
  <c r="J343" i="8" s="1"/>
  <c r="L85" i="8"/>
  <c r="Y600" i="1"/>
  <c r="Y686" i="1"/>
  <c r="F635" i="1"/>
  <c r="F63" i="1"/>
  <c r="Y26" i="1"/>
  <c r="U716" i="1"/>
  <c r="J775" i="8"/>
  <c r="J689" i="8"/>
  <c r="F411" i="1"/>
  <c r="R388" i="1"/>
  <c r="CA522" i="1"/>
  <c r="P335" i="7"/>
  <c r="I775" i="7" s="1"/>
  <c r="K335" i="7"/>
  <c r="R522" i="1"/>
  <c r="F548" i="1"/>
  <c r="R564" i="1"/>
  <c r="R716" i="1" s="1"/>
  <c r="X26" i="1"/>
  <c r="F62" i="1"/>
  <c r="I453" i="7"/>
  <c r="BA22" i="1"/>
  <c r="F736" i="1"/>
  <c r="BA746" i="1"/>
  <c r="F470" i="1"/>
  <c r="AU429" i="1"/>
  <c r="O109" i="1"/>
  <c r="F171" i="1"/>
  <c r="AV600" i="1"/>
  <c r="AV686" i="1"/>
  <c r="F613" i="1"/>
  <c r="F405" i="1"/>
  <c r="AY388" i="1"/>
  <c r="CA600" i="1"/>
  <c r="AR608" i="1"/>
  <c r="F64" i="1"/>
  <c r="AR26" i="1"/>
  <c r="AV72" i="1"/>
  <c r="AV199" i="1"/>
  <c r="F82" i="1"/>
  <c r="CA231" i="1"/>
  <c r="AR262" i="1"/>
  <c r="AY109" i="1"/>
  <c r="F177" i="1"/>
  <c r="E18" i="2"/>
  <c r="F553" i="1"/>
  <c r="AU522" i="1"/>
  <c r="AQ22" i="1"/>
  <c r="AQ746" i="1"/>
  <c r="F726" i="1"/>
  <c r="F658" i="1"/>
  <c r="O640" i="1"/>
  <c r="AP18" i="1"/>
  <c r="F755" i="1"/>
  <c r="I23" i="7" s="1"/>
  <c r="AS18" i="1"/>
  <c r="F763" i="1"/>
  <c r="I21" i="7" s="1"/>
  <c r="F492" i="1"/>
  <c r="O483" i="1"/>
  <c r="AY686" i="1"/>
  <c r="AY600" i="1"/>
  <c r="F616" i="1"/>
  <c r="BB18" i="1"/>
  <c r="F759" i="1"/>
  <c r="Q294" i="1"/>
  <c r="F576" i="1"/>
  <c r="CA483" i="1"/>
  <c r="AR490" i="1"/>
  <c r="W18" i="1"/>
  <c r="F770" i="1"/>
  <c r="V22" i="1"/>
  <c r="V746" i="1"/>
  <c r="F739" i="1"/>
  <c r="AR397" i="1"/>
  <c r="CA388" i="1"/>
  <c r="CD600" i="1"/>
  <c r="AU608" i="1"/>
  <c r="F79" i="1"/>
  <c r="O72" i="1"/>
  <c r="O199" i="1"/>
  <c r="Q68" i="1"/>
  <c r="F211" i="1"/>
  <c r="Q716" i="1"/>
  <c r="P68" i="1"/>
  <c r="F202" i="1"/>
  <c r="P716" i="1"/>
  <c r="AV640" i="1"/>
  <c r="F661" i="1"/>
  <c r="CD483" i="1"/>
  <c r="AU490" i="1"/>
  <c r="R294" i="1"/>
  <c r="F578" i="1"/>
  <c r="AW388" i="1"/>
  <c r="F403" i="1"/>
  <c r="X294" i="1"/>
  <c r="F590" i="1"/>
  <c r="O686" i="1"/>
  <c r="F610" i="1"/>
  <c r="O600" i="1"/>
  <c r="R596" i="1"/>
  <c r="F700" i="1"/>
  <c r="O298" i="1"/>
  <c r="O564" i="1"/>
  <c r="F321" i="1"/>
  <c r="P596" i="1"/>
  <c r="F689" i="1"/>
  <c r="CA72" i="1"/>
  <c r="AR77" i="1"/>
  <c r="AY298" i="1"/>
  <c r="AY564" i="1"/>
  <c r="F327" i="1"/>
  <c r="AW640" i="1"/>
  <c r="F662" i="1"/>
  <c r="AU77" i="1"/>
  <c r="CD72" i="1"/>
  <c r="F85" i="1"/>
  <c r="AY72" i="1"/>
  <c r="AY199" i="1"/>
  <c r="F453" i="1"/>
  <c r="O429" i="1"/>
  <c r="CD298" i="1"/>
  <c r="AU319" i="1"/>
  <c r="X109" i="1"/>
  <c r="F195" i="1"/>
  <c r="X199" i="1"/>
  <c r="Y294" i="1"/>
  <c r="F591" i="1"/>
  <c r="Y716" i="1"/>
  <c r="AU26" i="1"/>
  <c r="F55" i="1"/>
  <c r="AZ22" i="1"/>
  <c r="F727" i="1"/>
  <c r="AZ746" i="1"/>
  <c r="P294" i="1"/>
  <c r="F567" i="1"/>
  <c r="F456" i="1"/>
  <c r="AV429" i="1"/>
  <c r="F664" i="1"/>
  <c r="AY640" i="1"/>
  <c r="F264" i="1"/>
  <c r="O231" i="1"/>
  <c r="AY429" i="1"/>
  <c r="F459" i="1"/>
  <c r="BD18" i="1"/>
  <c r="F771" i="1"/>
  <c r="AW429" i="1"/>
  <c r="F457" i="1"/>
  <c r="R68" i="1"/>
  <c r="F213" i="1"/>
  <c r="AW686" i="1"/>
  <c r="AW600" i="1"/>
  <c r="F614" i="1"/>
  <c r="AV298" i="1"/>
  <c r="F324" i="1"/>
  <c r="AV564" i="1"/>
  <c r="CD640" i="1"/>
  <c r="AU656" i="1"/>
  <c r="AR522" i="1"/>
  <c r="F562" i="1"/>
  <c r="S68" i="1"/>
  <c r="F214" i="1"/>
  <c r="S716" i="1"/>
  <c r="AV388" i="1"/>
  <c r="F402" i="1"/>
  <c r="T22" i="1"/>
  <c r="T746" i="1"/>
  <c r="F737" i="1"/>
  <c r="AR429" i="1"/>
  <c r="F479" i="1"/>
  <c r="AX294" i="1"/>
  <c r="F571" i="1"/>
  <c r="Q596" i="1"/>
  <c r="F698" i="1"/>
  <c r="AO18" i="1"/>
  <c r="F750" i="1"/>
  <c r="CD109" i="1"/>
  <c r="AU169" i="1"/>
  <c r="AV109" i="1"/>
  <c r="F174" i="1"/>
  <c r="CA640" i="1"/>
  <c r="AR656" i="1"/>
  <c r="CD231" i="1"/>
  <c r="AU262" i="1"/>
  <c r="AX596" i="1"/>
  <c r="F693" i="1"/>
  <c r="CA298" i="1"/>
  <c r="AR319" i="1"/>
  <c r="CA109" i="1"/>
  <c r="AR169" i="1"/>
  <c r="AT18" i="1"/>
  <c r="F764" i="1"/>
  <c r="I22" i="7" s="1"/>
  <c r="F712" i="1"/>
  <c r="X596" i="1"/>
  <c r="AZ294" i="1"/>
  <c r="F575" i="1"/>
  <c r="CD388" i="1"/>
  <c r="AU397" i="1"/>
  <c r="AW72" i="1"/>
  <c r="F83" i="1"/>
  <c r="AW199" i="1"/>
  <c r="AW298" i="1"/>
  <c r="F325" i="1"/>
  <c r="AW564" i="1"/>
  <c r="AW109" i="1"/>
  <c r="F175" i="1"/>
  <c r="AX716" i="1"/>
  <c r="F713" i="1" l="1"/>
  <c r="Y596" i="1"/>
  <c r="J649" i="8"/>
  <c r="J459" i="8"/>
  <c r="I340" i="7"/>
  <c r="J778" i="8"/>
  <c r="U22" i="1"/>
  <c r="F738" i="1"/>
  <c r="U746" i="1"/>
  <c r="J781" i="8"/>
  <c r="Q22" i="1"/>
  <c r="F728" i="1"/>
  <c r="Q746" i="1"/>
  <c r="AQ18" i="1"/>
  <c r="F756" i="1"/>
  <c r="Y22" i="1"/>
  <c r="Y746" i="1"/>
  <c r="F743" i="1"/>
  <c r="S22" i="1"/>
  <c r="F731" i="1"/>
  <c r="S746" i="1"/>
  <c r="AU72" i="1"/>
  <c r="F96" i="1"/>
  <c r="AU199" i="1"/>
  <c r="O68" i="1"/>
  <c r="F201" i="1"/>
  <c r="O716" i="1"/>
  <c r="AU640" i="1"/>
  <c r="F675" i="1"/>
  <c r="AV596" i="1"/>
  <c r="F691" i="1"/>
  <c r="AU686" i="1"/>
  <c r="AU600" i="1"/>
  <c r="F627" i="1"/>
  <c r="F347" i="1"/>
  <c r="AR298" i="1"/>
  <c r="AR564" i="1"/>
  <c r="AU109" i="1"/>
  <c r="F188" i="1"/>
  <c r="F636" i="1"/>
  <c r="AR686" i="1"/>
  <c r="AR600" i="1"/>
  <c r="AR109" i="1"/>
  <c r="F197" i="1"/>
  <c r="AW294" i="1"/>
  <c r="F570" i="1"/>
  <c r="F509" i="1"/>
  <c r="AU483" i="1"/>
  <c r="F290" i="1"/>
  <c r="AR231" i="1"/>
  <c r="AU231" i="1"/>
  <c r="F281" i="1"/>
  <c r="V18" i="1"/>
  <c r="F769" i="1"/>
  <c r="R22" i="1"/>
  <c r="F730" i="1"/>
  <c r="R746" i="1"/>
  <c r="AX22" i="1"/>
  <c r="F723" i="1"/>
  <c r="AX746" i="1"/>
  <c r="O596" i="1"/>
  <c r="F688" i="1"/>
  <c r="X68" i="1"/>
  <c r="F225" i="1"/>
  <c r="X716" i="1"/>
  <c r="AV294" i="1"/>
  <c r="F569" i="1"/>
  <c r="AR72" i="1"/>
  <c r="F105" i="1"/>
  <c r="AR199" i="1"/>
  <c r="AW68" i="1"/>
  <c r="F205" i="1"/>
  <c r="AW716" i="1"/>
  <c r="AU298" i="1"/>
  <c r="F338" i="1"/>
  <c r="AU564" i="1"/>
  <c r="AW596" i="1"/>
  <c r="F692" i="1"/>
  <c r="O294" i="1"/>
  <c r="F566" i="1"/>
  <c r="AV68" i="1"/>
  <c r="F204" i="1"/>
  <c r="AV716" i="1"/>
  <c r="BA18" i="1"/>
  <c r="F766" i="1"/>
  <c r="AR640" i="1"/>
  <c r="F684" i="1"/>
  <c r="AZ18" i="1"/>
  <c r="F757" i="1"/>
  <c r="AY68" i="1"/>
  <c r="F207" i="1"/>
  <c r="AY716" i="1"/>
  <c r="P22" i="1"/>
  <c r="P746" i="1"/>
  <c r="F719" i="1"/>
  <c r="AR483" i="1"/>
  <c r="F518" i="1"/>
  <c r="AY294" i="1"/>
  <c r="F572" i="1"/>
  <c r="AY596" i="1"/>
  <c r="F694" i="1"/>
  <c r="F425" i="1"/>
  <c r="AR388" i="1"/>
  <c r="F416" i="1"/>
  <c r="AU388" i="1"/>
  <c r="T18" i="1"/>
  <c r="F767" i="1"/>
  <c r="U18" i="1" l="1"/>
  <c r="F768" i="1"/>
  <c r="R18" i="1"/>
  <c r="F760" i="1"/>
  <c r="AU68" i="1"/>
  <c r="F218" i="1"/>
  <c r="AU716" i="1"/>
  <c r="AR294" i="1"/>
  <c r="F592" i="1"/>
  <c r="F714" i="1"/>
  <c r="AR596" i="1"/>
  <c r="Y18" i="1"/>
  <c r="F773" i="1"/>
  <c r="Q18" i="1"/>
  <c r="F758" i="1"/>
  <c r="AW22" i="1"/>
  <c r="AW746" i="1"/>
  <c r="F722" i="1"/>
  <c r="J16" i="2"/>
  <c r="J18" i="2" s="1"/>
  <c r="X22" i="1"/>
  <c r="F742" i="1"/>
  <c r="X746" i="1"/>
  <c r="F705" i="1"/>
  <c r="AU596" i="1"/>
  <c r="AY22" i="1"/>
  <c r="AY746" i="1"/>
  <c r="F724" i="1"/>
  <c r="AR68" i="1"/>
  <c r="F227" i="1"/>
  <c r="AR716" i="1"/>
  <c r="S18" i="1"/>
  <c r="F761" i="1"/>
  <c r="I25" i="7" s="1"/>
  <c r="AV22" i="1"/>
  <c r="F721" i="1"/>
  <c r="AV746" i="1"/>
  <c r="P18" i="1"/>
  <c r="F749" i="1"/>
  <c r="AU294" i="1"/>
  <c r="F583" i="1"/>
  <c r="AX18" i="1"/>
  <c r="F753" i="1"/>
  <c r="O22" i="1"/>
  <c r="O746" i="1"/>
  <c r="F718" i="1"/>
  <c r="AW18" i="1" l="1"/>
  <c r="F752" i="1"/>
  <c r="AR22" i="1"/>
  <c r="F744" i="1"/>
  <c r="AR746" i="1"/>
  <c r="AU22" i="1"/>
  <c r="F735" i="1"/>
  <c r="H16" i="2" s="1"/>
  <c r="AU746" i="1"/>
  <c r="O18" i="1"/>
  <c r="F748" i="1"/>
  <c r="AY18" i="1"/>
  <c r="F754" i="1"/>
  <c r="X18" i="1"/>
  <c r="F772" i="1"/>
  <c r="AV18" i="1"/>
  <c r="F751" i="1"/>
  <c r="AU18" i="1" l="1"/>
  <c r="F765" i="1"/>
  <c r="I24" i="7" s="1"/>
  <c r="H18" i="2"/>
  <c r="I16" i="2"/>
  <c r="I18" i="2" s="1"/>
  <c r="AR18" i="1"/>
  <c r="F774" i="1"/>
  <c r="F775" i="1" l="1"/>
  <c r="H31" i="8"/>
  <c r="F777" i="1"/>
  <c r="J784" i="8" l="1"/>
  <c r="I778" i="7"/>
  <c r="I20" i="7" s="1"/>
  <c r="I777" i="7"/>
  <c r="J783" i="8"/>
  <c r="I776" i="7"/>
  <c r="J782" i="8"/>
</calcChain>
</file>

<file path=xl/sharedStrings.xml><?xml version="1.0" encoding="utf-8"?>
<sst xmlns="http://schemas.openxmlformats.org/spreadsheetml/2006/main" count="13839" uniqueCount="785">
  <si>
    <t>Smeta.RU  (495) 974-1589</t>
  </si>
  <si>
    <t>_PS_</t>
  </si>
  <si>
    <t>Smeta.RU</t>
  </si>
  <si>
    <t/>
  </si>
  <si>
    <t>Новый объект_(Копия)_(Копия)</t>
  </si>
  <si>
    <t>СН_1.1_на 4 месяца (10%)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</si>
  <si>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</si>
  <si>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</si>
  <si>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</si>
  <si>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</si>
  <si>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</si>
  <si>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</si>
  <si>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1.1 Киносклад</t>
  </si>
  <si>
    <t>Новый раздел</t>
  </si>
  <si>
    <t>Раздел: 1. Внутреннее водоснабжение и водоотведение.</t>
  </si>
  <si>
    <t>1.16-3101-3-1/1</t>
  </si>
  <si>
    <t>Прочистка канализационной сети внутренней</t>
  </si>
  <si>
    <t>100 м</t>
  </si>
  <si>
    <t>СН-2012.1 Выпуск № 5 (в текущих ценах по состоянию на 01.10.2025 г.). 1.16-3101-3-1/1</t>
  </si>
  <si>
    <t>СН-2012</t>
  </si>
  <si>
    <t>Подрядные работы, гл. 1-5,7</t>
  </si>
  <si>
    <t>работа</t>
  </si>
  <si>
    <t>1.15-2101-1-1/1</t>
  </si>
  <si>
    <t>Осмотр магистральных неизолированных внутренних трубопроводов диаметром до 100 мм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</si>
  <si>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</si>
  <si>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</si>
  <si>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</si>
  <si>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</si>
  <si>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</si>
  <si>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</si>
  <si>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</si>
  <si>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</si>
  <si>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</si>
  <si>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1</t>
  </si>
  <si>
    <t>1.15-2203-9-1/1</t>
  </si>
  <si>
    <t>Техническое обслуживание клапанов обратных фланцевых диаметром 50 мм</t>
  </si>
  <si>
    <t>СН-2012.1 Выпуск № 5 (в текущих ценах по состоянию на 01.10.2025 г.). 1.15-2203-9-1/1</t>
  </si>
  <si>
    <t>2</t>
  </si>
  <si>
    <t>1.15-2203-7-2/1</t>
  </si>
  <si>
    <t>Техническое обслуживание крана шарового латунного никелированного диаметром до 50 мм</t>
  </si>
  <si>
    <t>10 шт.</t>
  </si>
  <si>
    <t>СН-2012.1 Выпуск № 5 (в текущих ценах по состоянию на 01.10.2025 г.). 1.15-2203-7-2/1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</si>
  <si>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</si>
  <si>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</si>
  <si>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</si>
  <si>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</si>
  <si>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</si>
  <si>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</si>
  <si>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</si>
  <si>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</si>
  <si>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</si>
  <si>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</si>
  <si>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</si>
  <si>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</si>
  <si>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</si>
  <si>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</si>
  <si>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</si>
  <si>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</si>
  <si>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</si>
  <si>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</si>
  <si>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</si>
  <si>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</si>
  <si>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</si>
  <si>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</si>
  <si>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</si>
  <si>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</si>
  <si>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</si>
  <si>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</si>
  <si>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</si>
  <si>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</si>
  <si>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</si>
  <si>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</si>
  <si>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</si>
  <si>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</si>
  <si>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</si>
  <si>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</si>
  <si>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</si>
  <si>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</si>
  <si>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</si>
  <si>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</si>
  <si>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</si>
  <si>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</si>
  <si>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</si>
  <si>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</si>
  <si>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</si>
  <si>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</si>
  <si>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</si>
  <si>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</si>
  <si>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</si>
  <si>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</si>
  <si>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</si>
  <si>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</si>
  <si>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</si>
  <si>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</si>
  <si>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</si>
  <si>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</si>
  <si>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</si>
  <si>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</si>
  <si>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</si>
  <si>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Раздел: 2. Внутренние сети отопления и ИТП</t>
  </si>
  <si>
    <t>Новый подраздел</t>
  </si>
  <si>
    <t>2.1 Отопление</t>
  </si>
  <si>
    <t>1.17-2103-2-4/1</t>
  </si>
  <si>
    <t>Техническое обслуживание и эксплуатация в течение года систем водяного отопления общественных зданий с безэлеваторным вводом с расчетной тепловой нагрузкой от 0,3 до 0,4 Гкал/час</t>
  </si>
  <si>
    <t>система</t>
  </si>
  <si>
    <t>СН-2012.1 Выпуск № 5 (в текущих ценах по состоянию на 01.10.2025 г.). 1.17-2103-2-4/1</t>
  </si>
  <si>
    <t>)/12*4</t>
  </si>
  <si>
    <t>3</t>
  </si>
  <si>
    <t>1.17-2103-9-1/1</t>
  </si>
  <si>
    <t>Техническое обслуживание напольных тепловентиляторов для систем на базе тепловых насосов</t>
  </si>
  <si>
    <t>СН-2012.1 Выпуск № 5 (в текущих ценах по состоянию на 01.10.2025 г.). 1.17-2103-9-1/1</t>
  </si>
  <si>
    <t>2.2 Индивидуальный тепловой пункт</t>
  </si>
  <si>
    <t>Индивидуальный тепловой пункт Автоматизация узла учета тепла</t>
  </si>
  <si>
    <t>4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</si>
  <si>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</si>
  <si>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t>
  </si>
  <si>
    <t>СН-2012.1 Выпуск № 5 (в текущих ценах по состоянию на 01.10.2025 г.). 1.23-2303-5-1/1</t>
  </si>
  <si>
    <t>)*2</t>
  </si>
  <si>
    <t>5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</si>
  <si>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</si>
  <si>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</si>
  <si>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</si>
  <si>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6</t>
  </si>
  <si>
    <t>1.23-2103-22-3/1</t>
  </si>
  <si>
    <t>Техническое обслуживание расходомера электромагнитного / Тепловычислитель TB7-04 TB7-04 Данфосс</t>
  </si>
  <si>
    <t>СН-2012.1 Выпуск № 5 (в текущих ценах по состоянию на 01.10.2025 г.). 1.23-2103-22-3/1</t>
  </si>
  <si>
    <t>7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</si>
  <si>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</si>
  <si>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t>
  </si>
  <si>
    <t>СН-2012.1 Выпуск № 5 (в текущих ценах по состоянию на 01.10.2025 г.). 1.23-2103-8-1/1</t>
  </si>
  <si>
    <t>8</t>
  </si>
  <si>
    <t>1.23-2303-6-1/1</t>
  </si>
  <si>
    <t>Техническое обслуживание термопреобразователя сопротивления с унифицированным выходным сигналом / Термометр сопротивления КТС-Б КТС-Б Данфосс</t>
  </si>
  <si>
    <t>СН-2012.1 Выпуск № 5 (в текущих ценах по состоянию на 01.10.2025 г.). 1.23-2303-6-1/1</t>
  </si>
  <si>
    <t>9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</si>
  <si>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</si>
  <si>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</si>
  <si>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</si>
  <si>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Индивидуальный тепловой пункт. Тепломеханические решения.</t>
  </si>
  <si>
    <t>10</t>
  </si>
  <si>
    <t>1.15-2203-7-3/1</t>
  </si>
  <si>
    <t>Техническое обслуживание крана шарового латунного никелированного диаметром до 100 мм</t>
  </si>
  <si>
    <t>СН-2012.1 Выпуск № 5 (в текущих ценах по состоянию на 01.10.2025 г.). 1.15-2203-7-3/1</t>
  </si>
  <si>
    <t>11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</si>
  <si>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</si>
  <si>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</si>
  <si>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</si>
  <si>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</si>
  <si>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</si>
  <si>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</si>
  <si>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</si>
  <si>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</si>
  <si>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ШТ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</si>
  <si>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</si>
  <si>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</si>
  <si>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</si>
  <si>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12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</si>
  <si>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</si>
  <si>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</si>
  <si>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</si>
  <si>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</si>
  <si>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</si>
  <si>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</si>
  <si>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13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</si>
  <si>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</si>
  <si>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</si>
  <si>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</si>
  <si>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14</t>
  </si>
  <si>
    <t>1.15-2303-5-3/1</t>
  </si>
  <si>
    <t>Техническое обслуживание фильтров водяных фланцевых сетчатых диаметром до 150 мм</t>
  </si>
  <si>
    <t>СН-2012.1 Выпуск № 5 (в текущих ценах по состоянию на 01.10.2025 г.). 1.15-2303-5-3/1</t>
  </si>
  <si>
    <t>14,1</t>
  </si>
  <si>
    <t>21.26-1-112</t>
  </si>
  <si>
    <t>Прокладки из терморасширенного графита для обслуживания фильтра сетчатого чугунного фланцевого диаметром 100 мм</t>
  </si>
  <si>
    <t>СН-2012.21 Выпуск № 5 (в текущих ценах по состоянию на 01.10.2025 г.). 21.26-1-112</t>
  </si>
  <si>
    <t>15</t>
  </si>
  <si>
    <t>1.23-2103-21-1/1</t>
  </si>
  <si>
    <t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t>
  </si>
  <si>
    <t>СН-2012.1 Выпуск № 5 (в текущих ценах по состоянию на 01.10.2025 г.). 1.23-2103-21-1/1</t>
  </si>
  <si>
    <t>Стандартный насосный узел смешения серии АУУ-С-065-065-С-R V2</t>
  </si>
  <si>
    <t>16</t>
  </si>
  <si>
    <t>1.23-2103-9-7/1</t>
  </si>
  <si>
    <t>Техническое обслуживание приборов для измерения температуры, регулятор температуры дилатометрический, тип ТУДЭ / Датчик температуры ESMU ESMU Данфосс</t>
  </si>
  <si>
    <t>СН-2012.1 Выпуск № 5 (в текущих ценах по состоянию на 01.10.2025 г.). 1.23-2103-9-7/1</t>
  </si>
  <si>
    <t>17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</si>
  <si>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</si>
  <si>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</si>
  <si>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</si>
  <si>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18</t>
  </si>
  <si>
    <t>1.23-2103-41-1/1</t>
  </si>
  <si>
    <t>Техническое обслуживание регулирующего клапана / Трехходовой регулирующий клапан  Данфосс</t>
  </si>
  <si>
    <t>СН-2012.1 Выпуск № 5 (в текущих ценах по состоянию на 01.10.2025 г.). 1.23-2103-41-1/1</t>
  </si>
  <si>
    <t>19</t>
  </si>
  <si>
    <t>1.23-2303-4-4/1</t>
  </si>
  <si>
    <t>Техническое обслуживание средств автоматизации, механизмы электрические однооборотные МЭО, ИМ</t>
  </si>
  <si>
    <t>СН-2012.1 Выпуск № 5 (в текущих ценах по состоянию на 01.10.2025 г.). 1.23-2303-4-4/1</t>
  </si>
  <si>
    <t>20</t>
  </si>
  <si>
    <t>1.15-2203-8-2/1</t>
  </si>
  <si>
    <t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t>
  </si>
  <si>
    <t>СН-2012.1 Выпуск № 5 (в текущих ценах по состоянию на 01.10.2025 г.). 1.15-2203-8-2/1</t>
  </si>
  <si>
    <t>21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</si>
  <si>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</si>
  <si>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</si>
  <si>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</si>
  <si>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22</t>
  </si>
  <si>
    <t>1.23-2303-7-2/1</t>
  </si>
  <si>
    <t>Техническое обслуживание реле давления, напора, тяги</t>
  </si>
  <si>
    <t>СН-2012.1 Выпуск № 5 (в текущих ценах по состоянию на 01.10.2025 г.). 1.23-2303-7-2/1</t>
  </si>
  <si>
    <t>23</t>
  </si>
  <si>
    <t>24</t>
  </si>
  <si>
    <t>25</t>
  </si>
  <si>
    <t>26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</si>
  <si>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</si>
  <si>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</si>
  <si>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</si>
  <si>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26,1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</si>
  <si>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</si>
  <si>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</si>
  <si>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</si>
  <si>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Стандартный насосный узел смешения серии АУУ-С-080-100-C-R V2</t>
  </si>
  <si>
    <t>27</t>
  </si>
  <si>
    <t>Техническое обслуживание регулирующего клапана / Регулирующий клапан  Данфосс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</si>
  <si>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</si>
  <si>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</si>
  <si>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</si>
  <si>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</si>
  <si>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</si>
  <si>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</si>
  <si>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</si>
  <si>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</si>
  <si>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</si>
  <si>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36,1</t>
  </si>
  <si>
    <t>37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</si>
  <si>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</si>
  <si>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</si>
  <si>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</si>
  <si>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</si>
  <si>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</si>
  <si>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</si>
  <si>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Раздел: 3. Вентиляция и теплоснабжение приточных установок</t>
  </si>
  <si>
    <t>1.18-2403-5-3/1</t>
  </si>
  <si>
    <t>Техническое обслуживание и ремонт в течение года приточных установок с автоматикой, производительностью по воздуху до 20000 м3/ч</t>
  </si>
  <si>
    <t>установка</t>
  </si>
  <si>
    <t>СН-2012.1 Выпуск № 5 (в текущих ценах по состоянию на 01.10.2025 г.). 1.18-2403-5-3/1</t>
  </si>
  <si>
    <t>1.18-2403-21-9/1</t>
  </si>
  <si>
    <t>Техническое обслуживание приточных установок производительностью до 20000 м3/ч - годовое</t>
  </si>
  <si>
    <t>СН-2012.1 Выпуск № 5 (в текущих ценах по состоянию на 01.10.2025 г.). 1.18-2403-21-9/1</t>
  </si>
  <si>
    <t>38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</si>
  <si>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</si>
  <si>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</si>
  <si>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</si>
  <si>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</si>
  <si>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</si>
  <si>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</si>
  <si>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</si>
  <si>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</si>
  <si>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СН-2012.1 Выпуск № 5 (в текущих ценах по состоянию на 01.10.2025 г.). 1.18-2403-5-1/1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</si>
  <si>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</si>
  <si>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</si>
  <si>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</si>
  <si>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39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</si>
  <si>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</si>
  <si>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</si>
  <si>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</si>
  <si>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</si>
  <si>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</si>
  <si>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</si>
  <si>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</si>
  <si>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</si>
  <si>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</si>
  <si>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1.18-2403-8-4/1</t>
  </si>
  <si>
    <t>Техническое обслуживание и ремонт в течение года вытяжных установок производительностью по воздуху до 20000 м3/ч</t>
  </si>
  <si>
    <t>СН-2012.1 Выпуск № 5 (в текущих ценах по состоянию на 01.10.2025 г.). 1.18-2403-8-4/1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</si>
  <si>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</si>
  <si>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</si>
  <si>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</si>
  <si>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40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</si>
  <si>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</si>
  <si>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</si>
  <si>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</si>
  <si>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</si>
  <si>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</si>
  <si>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</si>
  <si>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</si>
  <si>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</si>
  <si>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</si>
  <si>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1.18-2403-20-5/1</t>
  </si>
  <si>
    <t>Техническое обслуживание вытяжных установок производительностью до 5000 м3/ч - годовое / применительно до 2000 м3/ч</t>
  </si>
  <si>
    <t>СН-2012.1 Выпуск № 5 (в текущих ценах по состоянию на 01.10.2025 г.). 1.18-2403-20-5/1</t>
  </si>
  <si>
    <t>41</t>
  </si>
  <si>
    <t>1.18-2403-20-3/1</t>
  </si>
  <si>
    <t>Техническое обслуживание вытяжных установок производительностью до 5000 м3/ч - ежеквартальное / применительно до 2000 м3/ч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</si>
  <si>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</si>
  <si>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</si>
  <si>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 / применительно до 2000 м3/ч</t>
  </si>
  <si>
    <t>СН-2012.1 Выпуск № 5 (в текущих ценах по состоянию на 01.10.2025 г.). 1.18-2403-20-1/1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</si>
  <si>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</si>
  <si>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</si>
  <si>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</si>
  <si>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</si>
  <si>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</si>
  <si>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</si>
  <si>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</si>
  <si>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</si>
  <si>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</si>
  <si>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</si>
  <si>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42</t>
  </si>
  <si>
    <t>1.18-2203-3-1/1</t>
  </si>
  <si>
    <t>Техническое обслуживание клапанов обратных воздушных диаметром/периметром до 560/1600 мм</t>
  </si>
  <si>
    <t>СН-2012.1 Выпуск № 5 (в текущих ценах по состоянию на 01.10.2025 г.). 1.18-2203-3-1/1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</si>
  <si>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</si>
  <si>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</si>
  <si>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</si>
  <si>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</si>
  <si>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</si>
  <si>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</si>
  <si>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Раздел: 4. Электроосвещение и электрооборудование</t>
  </si>
  <si>
    <t>4.1 Электроосвещение и электрооборудование</t>
  </si>
  <si>
    <t>43</t>
  </si>
  <si>
    <t>1.21-2203-8-2/1</t>
  </si>
  <si>
    <t>Техническое обслуживание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</si>
  <si>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1.21-2203-8-2/1</t>
  </si>
  <si>
    <t>1.21-2201-8-2/1</t>
  </si>
  <si>
    <t>Технический осмотр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</si>
  <si>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1.21-2201-8-2/1</t>
  </si>
  <si>
    <t>)*3</t>
  </si>
  <si>
    <t>1.21-2203-29-1/1</t>
  </si>
  <si>
    <t>Техническое обслуживание измерительных трансформаторов</t>
  </si>
  <si>
    <t>СН-2012.1 Выпуск № 5 (в текущих ценах по состоянию на 01.10.2025 г.). 1.21-2203-29-1/1</t>
  </si>
  <si>
    <t>1.21-2301-1-1/1</t>
  </si>
  <si>
    <t>Технический осмотр трансформатора понижающего /Трансформатор тока 300/5A, точность 0.5, 6VA ТТЭ30-300/5 «EKF»</t>
  </si>
  <si>
    <t>СН-2012.1 Выпуск № 5 (в текущих ценах по состоянию на 01.10.2025 г.). 1.21-2301-1-1/1</t>
  </si>
  <si>
    <t>)*16</t>
  </si>
  <si>
    <t>44</t>
  </si>
  <si>
    <t>1.21-2203-2-3/1</t>
  </si>
  <si>
    <t>Техническое обслуживание силового распределительного пункта с установочными автоматами, число групп 8 (РП1, РП2)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</si>
  <si>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</si>
  <si>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</si>
  <si>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</t>
  </si>
  <si>
    <t>СН-2012.1 Выпуск № 5 (в текущих ценах по состоянию на 01.10.2025 г.). 1.21-2201-2-3/1</t>
  </si>
  <si>
    <t>45</t>
  </si>
  <si>
    <t>1.21-2203-2-5/1</t>
  </si>
  <si>
    <t>Техническое обслуживание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</si>
  <si>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</si>
  <si>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</si>
  <si>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</si>
  <si>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1.21-2201-2-5/1</t>
  </si>
  <si>
    <t>46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</si>
  <si>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</si>
  <si>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</si>
  <si>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</si>
  <si>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</si>
  <si>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</si>
  <si>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</si>
  <si>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</si>
  <si>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</si>
  <si>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</si>
  <si>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)*118</t>
  </si>
  <si>
    <t>47</t>
  </si>
  <si>
    <t>1.21-2203-1-2/1</t>
  </si>
  <si>
    <t>Техническое обслуживание распределительных коробок (щитков), с автоматами /Щит ЩУОК</t>
  </si>
  <si>
    <t>СН-2012.1 Выпуск № 5 (в текущих ценах по состоянию на 01.10.2025 г.). 1.21-2203-1-2/1</t>
  </si>
  <si>
    <t>1.21-2201-1-2/1</t>
  </si>
  <si>
    <t>Технический осмотр распределительных коробок (щитков), с автоматами  /Щит ЩУОК</t>
  </si>
  <si>
    <t>СН-2012.1 Выпуск № 5 (в текущих ценах по состоянию на 01.10.2025 г.). 1.21-2201-1-2/1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</si>
  <si>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/Модуль управления обогревом EDMR-10 EKF</t>
  </si>
  <si>
    <t>48</t>
  </si>
  <si>
    <t>1.21-2303-18-1/1</t>
  </si>
  <si>
    <t>Техническое обслуживание переключателя универсального, число секций до 8</t>
  </si>
  <si>
    <t>СН-2012.1 Выпуск № 5 (в текущих ценах по состоянию на 01.10.2025 г.). 1.21-2303-18-1/1</t>
  </si>
  <si>
    <t>1.21-2301-18-1/1</t>
  </si>
  <si>
    <t>Технический осмотр переключателя универсального, число секций до 8</t>
  </si>
  <si>
    <t>СН-2012.1 Выпуск № 5 (в текущих ценах по состоянию на 01.10.2025 г.). 1.21-2301-18-1/1</t>
  </si>
  <si>
    <t>49</t>
  </si>
  <si>
    <t>1.21-2203-27-1/1</t>
  </si>
  <si>
    <t>Техническое обслуживание контакторов номинальный ток до 160 А</t>
  </si>
  <si>
    <t>СН-2012.1 Выпуск № 5 (в текущих ценах по состоянию на 01.10.2025 г.). 1.21-2203-27-1/1</t>
  </si>
  <si>
    <t>50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</si>
  <si>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</si>
  <si>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</si>
  <si>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</si>
  <si>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4.2  Система молниезащиты и заземления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</si>
  <si>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</si>
  <si>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</si>
  <si>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</si>
  <si>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</si>
  <si>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</si>
  <si>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</si>
  <si>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4.3  Осветительное оборудование</t>
  </si>
  <si>
    <t>51</t>
  </si>
  <si>
    <t>1.20-2103-24-1/1</t>
  </si>
  <si>
    <t>СН-2012.1 Выпуск № 5 (в текущих ценах по состоянию на 01.10.2025 г.). 1.20-2103-24-1/1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</si>
  <si>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</si>
  <si>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</si>
  <si>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</si>
  <si>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52</t>
  </si>
  <si>
    <t>1.20-2103-19-3/1</t>
  </si>
  <si>
    <t>Техническое обслуживание годовое светильника светодиодного потолочного типа Arctic 1500 /Светильник светодиодный 40 Вт (венткамеры и эл/щ) ДСП1403 ИЭК</t>
  </si>
  <si>
    <t>СН-2012.1 Выпуск № 5 (в текущих ценах по состоянию на 01.10.2025 г.). 1.20-2103-19-3/1</t>
  </si>
  <si>
    <t>53</t>
  </si>
  <si>
    <t>1.22-2203-103-1/1</t>
  </si>
  <si>
    <t>Техническое обслуживание и регулировка светового настенного указателя (табло) "Выход"</t>
  </si>
  <si>
    <t>СН-2012.1 Выпуск № 5 (в текущих ценах по состоянию на 01.10.2025 г.). 1.22-2203-103-1/1</t>
  </si>
  <si>
    <t>)*1</t>
  </si>
  <si>
    <t>)*0,70</t>
  </si>
  <si>
    <t>Поправка: СН-2012. Гл.1 Сб.22 п.3.6.2</t>
  </si>
  <si>
    <t>3.1-2201-3-1/1</t>
  </si>
  <si>
    <t>Технический осмотр светозвукового сигнализатора "Выход"</t>
  </si>
  <si>
    <t>СН-2012.3 Выпуск № 5 (в текущих ценах по состоянию на 01.10.2025 г.). 3.1-2201-3-1/1</t>
  </si>
  <si>
    <t>)*3)*1</t>
  </si>
  <si>
    <t>)*3)*0,75</t>
  </si>
  <si>
    <t>Поправка: СН-2012. Гл.1 Сб.22 п.3.6.1</t>
  </si>
  <si>
    <t>54</t>
  </si>
  <si>
    <t>55</t>
  </si>
  <si>
    <t>4.4  Кабельно-проводниковая продукция</t>
  </si>
  <si>
    <t>56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</si>
  <si>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</si>
  <si>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</si>
  <si>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</si>
  <si>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</si>
  <si>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</si>
  <si>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</si>
  <si>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57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</si>
  <si>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</si>
  <si>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</si>
  <si>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</si>
  <si>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</si>
  <si>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</si>
  <si>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</si>
  <si>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58</t>
  </si>
  <si>
    <t>1.21-2103-9-3/1</t>
  </si>
  <si>
    <t>Техническое обслуживание силовых сетей, проложенных по кирпичным и бетонным основаниям, провод сечением 4х1,5-6 мм2 (5х2,5, 5х4, 5х6)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</si>
  <si>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</si>
  <si>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</si>
  <si>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</t>
  </si>
  <si>
    <t>СН-2012.1 Выпуск № 5 (в текущих ценах по состоянию на 01.10.2025 г.). 1.21-2101-1-3/1</t>
  </si>
  <si>
    <t>59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</si>
  <si>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</si>
  <si>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(5х10, 5х16)</t>
  </si>
  <si>
    <t>СН-2012.1 Выпуск № 5 (в текущих ценах по состоянию на 01.10.2025 г.). 1.21-2103-9-5/1</t>
  </si>
  <si>
    <t>60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</si>
  <si>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</si>
  <si>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</si>
  <si>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</si>
  <si>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</si>
  <si>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</t>
  </si>
  <si>
    <t>СН-2012.1 Выпуск № 5 (в текущих ценах по состоянию на 01.10.2025 г.). 1.21-2101-1-5/1</t>
  </si>
  <si>
    <t>61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</si>
  <si>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</si>
  <si>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5х35, 5х50, 5х70)</t>
  </si>
  <si>
    <t>СН-2012.1 Выпуск № 5 (в текущих ценах по состоянию на 01.10.2025 г.). 1.21-2103-9-7/1</t>
  </si>
  <si>
    <t>62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</si>
  <si>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</si>
  <si>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</si>
  <si>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</si>
  <si>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</si>
  <si>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</t>
  </si>
  <si>
    <t>СН-2012.1 Выпуск № 5 (в текущих ценах по состоянию на 01.10.2025 г.). 1.21-2101-1-7/1</t>
  </si>
  <si>
    <t>Система антиобледенения кровли</t>
  </si>
  <si>
    <t>63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</si>
  <si>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</si>
  <si>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</si>
  <si>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</si>
  <si>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</si>
  <si>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64</t>
  </si>
  <si>
    <t>1.23-2103-9-8/1</t>
  </si>
  <si>
    <t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t>
  </si>
  <si>
    <t>СН-2012.1 Выпуск № 5 (в текущих ценах по состоянию на 01.10.2025 г.). 1.23-2103-9-8/1</t>
  </si>
  <si>
    <t>65</t>
  </si>
  <si>
    <t>1.23-2103-15-1/1</t>
  </si>
  <si>
    <t>Техническое обслуживание сигнализатора уровня /Датчик осадков КСТ-020 3,0</t>
  </si>
  <si>
    <t>СН-2012.1 Выпуск № 5 (в текущих ценах по состоянию на 01.10.2025 г.). 1.23-2103-15-1/1</t>
  </si>
  <si>
    <t>66</t>
  </si>
  <si>
    <t>4.5  Электроустановочные изделия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</si>
  <si>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</si>
  <si>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</si>
  <si>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</si>
  <si>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67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</si>
  <si>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</si>
  <si>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</si>
  <si>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</si>
  <si>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</si>
  <si>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</si>
  <si>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100 шт.</t>
  </si>
  <si>
    <t>СН-2012.1 Выпуск № 5 (в текущих ценах по состоянию на 01.10.2025 г.). 1.21-2301-22-1/1</t>
  </si>
  <si>
    <t>Техническое обслуживание коробки клеммной соединительной, с количеством клемм до 20 / Коробка уравнивания потенциалов с шиной на 7 присоединений КУП1101 ХЕГЕЛЬ</t>
  </si>
  <si>
    <t>4.6  Щитовое оборудование</t>
  </si>
  <si>
    <t>68</t>
  </si>
  <si>
    <t>Техническое обслуживание силового распределительного пункта с установочными автоматами, число групп 12 / ВРЩ</t>
  </si>
  <si>
    <t>69</t>
  </si>
  <si>
    <t>Техническое обслуживание силового распределительного пункта с установочными автоматами, число групп 8 / ЩСА, ЩАО, ЩОК</t>
  </si>
  <si>
    <t>Технический осмотр силового распределительного пункта с установочными автоматами, число групп 8 / ЩСА, ЩАО, ЩОК</t>
  </si>
  <si>
    <t>70</t>
  </si>
  <si>
    <t>1.21-2203-2-1/1</t>
  </si>
  <si>
    <t>Техническое обслуживание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</si>
  <si>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1.21-2203-2-1/1</t>
  </si>
  <si>
    <t>1.21-2201-2-1/1</t>
  </si>
  <si>
    <t>Технический осмотр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</si>
  <si>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1.21-2201-2-1/1</t>
  </si>
  <si>
    <t>71</t>
  </si>
  <si>
    <t>Раздел: 5. Автоматизация комплексная</t>
  </si>
  <si>
    <t>5.1  Автоматизация системы отопления</t>
  </si>
  <si>
    <t>72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</si>
  <si>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t>
  </si>
  <si>
    <t>73</t>
  </si>
  <si>
    <t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t>
  </si>
  <si>
    <t>74</t>
  </si>
  <si>
    <t>1.23-2303-11-1/1</t>
  </si>
  <si>
    <t>Техническое обслуживание модулей аналоговых входных сигналов</t>
  </si>
  <si>
    <t>СН-2012.1 Выпуск № 5 (в текущих ценах по состоянию на 01.10.2025 г.). 1.23-2303-11-1/1</t>
  </si>
  <si>
    <t>75</t>
  </si>
  <si>
    <t>1.23-2303-11-3/1</t>
  </si>
  <si>
    <t>Техническое обслуживание модулей дискретных входных сигналов</t>
  </si>
  <si>
    <t>СН-2012.1 Выпуск № 5 (в текущих ценах по состоянию на 01.10.2025 г.). 1.23-2303-11-3/1</t>
  </si>
  <si>
    <t>76</t>
  </si>
  <si>
    <t>1.23-2303-11-4/1</t>
  </si>
  <si>
    <t>Техническое обслуживание модулей дискретных выходных сигналов</t>
  </si>
  <si>
    <t>СН-2012.1 Выпуск № 5 (в текущих ценах по состоянию на 01.10.2025 г.). 1.23-2303-11-4/1</t>
  </si>
  <si>
    <t>5.2  Приборы и средства автоматизации</t>
  </si>
  <si>
    <t>77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</si>
  <si>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t>
  </si>
  <si>
    <t>78</t>
  </si>
  <si>
    <t>79</t>
  </si>
  <si>
    <t>1.22-2203-78-1/1</t>
  </si>
  <si>
    <t>Техническое обслуживание блока питания типа БРП-12-01Л /Источник вторичного электропитания 24В, 6.0А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</si>
  <si>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</si>
  <si>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</si>
  <si>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 /Источник вторичного электропитания 24В, 6.0А</t>
  </si>
  <si>
    <t>СН-2012.1 Выпуск № 5 (в текущих ценах по состоянию на 01.10.2025 г.). 1.22-2201-67-1/1</t>
  </si>
  <si>
    <t>80</t>
  </si>
  <si>
    <t>1.23-2303-12-1/1</t>
  </si>
  <si>
    <t>Техническое обслуживание контроллеров логических операций</t>
  </si>
  <si>
    <t>СН-2012.1 Выпуск № 5 (в текущих ценах по состоянию на 01.10.2025 г.). 1.23-2303-12-1/1</t>
  </si>
  <si>
    <t>81</t>
  </si>
  <si>
    <t>82</t>
  </si>
  <si>
    <t>83</t>
  </si>
  <si>
    <t>3.1-2203-56-1/1</t>
  </si>
  <si>
    <t>Техническое обслуживание преобразователя интерфейсов ПИ-01</t>
  </si>
  <si>
    <t>СН-2012.3 Выпуск № 5 (в текущих ценах по состоянию на 01.10.2025 г.). 3.1-2203-56-1/1</t>
  </si>
  <si>
    <t>)*2)*1</t>
  </si>
  <si>
    <t>)*2*0,70</t>
  </si>
  <si>
    <t>)*2)*0,70</t>
  </si>
  <si>
    <t>3.1-2201-54-1/1</t>
  </si>
  <si>
    <t>Технический осмотр преобразователя интерфейсов ПИ-01</t>
  </si>
  <si>
    <t>СН-2012.3 Выпуск № 5 (в текущих ценах по состоянию на 01.10.2025 г.). 3.1-2201-54-1/1</t>
  </si>
  <si>
    <t>)*2)*0,75</t>
  </si>
  <si>
    <t>84</t>
  </si>
  <si>
    <t>Техническое обслуживание сигнализатора уровня /Извещатель протечки воды H2O-Контакт NEW исп.2 (Н.З.)  Альянс</t>
  </si>
  <si>
    <t>85</t>
  </si>
  <si>
    <t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t>
  </si>
  <si>
    <t>86</t>
  </si>
  <si>
    <t>Техническое обслуживание приборов для измерения температуры, термопреобразователи сопротивления, тип: ТСП-0879, ТСП-1079, ТСМ-0879, ТСМ-0979</t>
  </si>
  <si>
    <t>87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</si>
  <si>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</si>
  <si>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</si>
  <si>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</si>
  <si>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</si>
  <si>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</si>
  <si>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</si>
  <si>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</si>
  <si>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</si>
  <si>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</si>
  <si>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</si>
  <si>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</si>
  <si>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</si>
  <si>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</si>
  <si>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</si>
  <si>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</si>
  <si>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</si>
  <si>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</si>
  <si>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</si>
  <si>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</si>
  <si>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</si>
  <si>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</si>
  <si>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</si>
  <si>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</si>
  <si>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</si>
  <si>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кг</t>
  </si>
  <si>
    <t>21.1-20-7</t>
  </si>
  <si>
    <t>СН-2012.21 Выпуск № 5 (в текущих ценах по состоянию на 01.10.2025 г.). 21.1-20-7</t>
  </si>
  <si>
    <t>Ветошь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</si>
  <si>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</si>
  <si>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</si>
  <si>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</si>
  <si>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</si>
  <si>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</si>
  <si>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</si>
  <si>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</si>
  <si>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</si>
  <si>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</si>
  <si>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</si>
  <si>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</si>
  <si>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</si>
  <si>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</si>
  <si>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</si>
  <si>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</si>
  <si>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</si>
  <si>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</si>
  <si>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</si>
  <si>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</si>
  <si>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</si>
  <si>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</si>
  <si>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</si>
  <si>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</si>
  <si>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</si>
  <si>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</si>
  <si>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</si>
  <si>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</si>
  <si>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</si>
  <si>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</si>
  <si>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</si>
  <si>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21.1-6-90</t>
  </si>
  <si>
    <t>Олифа для окраски комбинированная оксоль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</si>
  <si>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</si>
  <si>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</si>
  <si>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</si>
  <si>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</si>
  <si>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</si>
  <si>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</si>
  <si>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</si>
  <si>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</si>
  <si>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</si>
  <si>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</si>
  <si>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л</t>
  </si>
  <si>
    <t>21.1-4-3</t>
  </si>
  <si>
    <t>СН-2012.21 Выпуск № 5 (в текущих ценах по состоянию на 01.10.2025 г.). 21.1-4-3</t>
  </si>
  <si>
    <t>Бензин</t>
  </si>
  <si>
    <t>5728811000</t>
  </si>
  <si>
    <t>Прокладки из листового терморасширенного графита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</si>
  <si>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</si>
  <si>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</si>
  <si>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</si>
  <si>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</si>
  <si>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</si>
  <si>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</si>
  <si>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</si>
  <si>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</si>
  <si>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СН-2012.21 Выпуск № 5 (в текущих ценах по состоянию на 01.10.2025 г.). 21.1-6-90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</si>
  <si>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</si>
  <si>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</si>
  <si>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</si>
  <si>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</si>
  <si>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</si>
  <si>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</si>
  <si>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</si>
  <si>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</si>
  <si>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</si>
  <si>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</si>
  <si>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</si>
  <si>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</si>
  <si>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</si>
  <si>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</si>
  <si>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</si>
  <si>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</si>
  <si>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</si>
  <si>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</si>
  <si>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</si>
  <si>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</si>
  <si>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</si>
  <si>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</si>
  <si>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</si>
  <si>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</si>
  <si>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</si>
  <si>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</si>
  <si>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</si>
  <si>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</si>
  <si>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22.1-30-56</t>
  </si>
  <si>
    <t>СН-2012.22 Выпуск № 5 (в текущих ценах по состоянию на 01.10.2025 г.). 22.1-30-56</t>
  </si>
  <si>
    <t>Шуруповерты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</si>
  <si>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</si>
  <si>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</si>
  <si>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</si>
  <si>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</si>
  <si>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</si>
  <si>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</si>
  <si>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</si>
  <si>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</si>
  <si>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</si>
  <si>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</si>
  <si>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</si>
  <si>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</si>
  <si>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</si>
  <si>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</si>
  <si>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</si>
  <si>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</si>
  <si>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</si>
  <si>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</si>
  <si>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</si>
  <si>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</si>
  <si>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</si>
  <si>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21.1-20-1</t>
  </si>
  <si>
    <t>СН-2012.21 Выпуск № 5 (в текущих ценах по состоянию на 01.10.2025 г.). 21.1-20-1</t>
  </si>
  <si>
    <t>Бязь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</si>
  <si>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</si>
  <si>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</si>
  <si>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</si>
  <si>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</si>
  <si>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</si>
  <si>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</si>
  <si>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</si>
  <si>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</si>
  <si>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</si>
  <si>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</si>
  <si>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</si>
  <si>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</si>
  <si>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</si>
  <si>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</si>
  <si>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</si>
  <si>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</si>
  <si>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</si>
  <si>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</si>
  <si>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</si>
  <si>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</si>
  <si>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</si>
  <si>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</si>
  <si>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</si>
  <si>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</si>
  <si>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</si>
  <si>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</si>
  <si>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</si>
  <si>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</si>
  <si>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</si>
  <si>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</si>
  <si>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</si>
  <si>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</si>
  <si>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</si>
  <si>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</si>
  <si>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</si>
  <si>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</si>
  <si>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</si>
  <si>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</si>
  <si>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</si>
  <si>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</si>
  <si>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</si>
  <si>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</si>
  <si>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</si>
  <si>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</si>
  <si>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</si>
  <si>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</si>
  <si>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</si>
  <si>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</si>
  <si>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</si>
  <si>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</si>
  <si>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1.22-2203-103-1/1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</si>
  <si>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 регулировка светового настенного указателя (табло) "Выход"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</si>
  <si>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3.1-2203-56-1/1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</si>
  <si>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преобразователя интерфейсов ПИ-01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</si>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</sst>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5" fillId="0" borderId="0" xfId="0" applyFont="1"/>
    <xf numFmtId="165" fontId="14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85"/>
  <sheetViews>
    <sheetView tabSelected="1" topLeftCell="A753" zoomScaleNormal="100" workbookViewId="0">
      <selection activeCell="I776" sqref="I776:J777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39" t="s">
        <v>706</v>
      </c>
      <c r="K2" s="39"/>
    </row>
    <row r="3" spans="1:11" ht="16.5" x14ac:dyDescent="0.25">
      <c r="A3" s="11"/>
      <c r="B3" s="43" t="s">
        <v>704</v>
      </c>
      <c r="C3" s="43"/>
      <c r="D3" s="43"/>
      <c r="E3" s="43"/>
      <c r="F3" s="10"/>
      <c r="G3" s="43" t="s">
        <v>705</v>
      </c>
      <c r="H3" s="43"/>
      <c r="I3" s="43"/>
      <c r="J3" s="43"/>
      <c r="K3" s="43"/>
    </row>
    <row r="4" spans="1:11" ht="14.25" x14ac:dyDescent="0.2">
      <c r="A4" s="10"/>
      <c r="B4" s="44"/>
      <c r="C4" s="44"/>
      <c r="D4" s="44"/>
      <c r="E4" s="44"/>
      <c r="F4" s="10"/>
      <c r="G4" s="44"/>
      <c r="H4" s="44"/>
      <c r="I4" s="44"/>
      <c r="J4" s="44"/>
      <c r="K4" s="44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4" t="str">
        <f>CONCATENATE("______________________ ", IF(Source!AL12&lt;&gt;"", Source!AL12, ""))</f>
        <v xml:space="preserve">______________________ </v>
      </c>
      <c r="C6" s="44"/>
      <c r="D6" s="44"/>
      <c r="E6" s="44"/>
      <c r="F6" s="10"/>
      <c r="G6" s="44" t="str">
        <f>CONCATENATE("______________________ ", IF(Source!AH12&lt;&gt;"", Source!AH12, ""))</f>
        <v xml:space="preserve">______________________ </v>
      </c>
      <c r="H6" s="44"/>
      <c r="I6" s="44"/>
      <c r="J6" s="44"/>
      <c r="K6" s="44"/>
    </row>
    <row r="7" spans="1:11" ht="14.25" customHeight="1" x14ac:dyDescent="0.2">
      <c r="A7" s="13"/>
      <c r="B7" s="38" t="s">
        <v>707</v>
      </c>
      <c r="C7" s="38"/>
      <c r="D7" s="38"/>
      <c r="E7" s="38"/>
      <c r="F7" s="10"/>
      <c r="G7" s="38" t="s">
        <v>707</v>
      </c>
      <c r="H7" s="38"/>
      <c r="I7" s="38"/>
      <c r="J7" s="38"/>
      <c r="K7" s="38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customHeight="1" x14ac:dyDescent="0.25">
      <c r="A10" s="40" t="str">
        <f>CONCATENATE( "ЛОКАЛЬНАЯ СМЕТА № ",IF(Source!F12&lt;&gt;"Новый объект", Source!F12, ""))</f>
        <v>ЛОКАЛЬНАЯ СМЕТА № Новый объект_(Копия)_(Копия)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2.75" customHeight="1" x14ac:dyDescent="0.2">
      <c r="A11" s="41" t="s">
        <v>708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1" ht="14.25" hidden="1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6" t="str">
        <f>IF(Source!G12&lt;&gt;"Новый объект", Source!G12, "")</f>
        <v>СН_1.1_на 4 месяца (10%)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1" ht="12.75" customHeight="1" x14ac:dyDescent="0.2">
      <c r="A16" s="41" t="s">
        <v>709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customHeight="1" x14ac:dyDescent="0.2">
      <c r="A18" s="38" t="str">
        <f>CONCATENATE( "Основание: чертежи № ", Source!J12)</f>
        <v xml:space="preserve">Основание: чертежи № 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4" t="s">
        <v>710</v>
      </c>
      <c r="G20" s="44"/>
      <c r="H20" s="44"/>
      <c r="I20" s="45">
        <f>I778/1000</f>
        <v>1525.2009699999999</v>
      </c>
      <c r="J20" s="45"/>
      <c r="K20" s="10" t="s">
        <v>711</v>
      </c>
    </row>
    <row r="21" spans="1:11" ht="14.25" hidden="1" customHeight="1" x14ac:dyDescent="0.2">
      <c r="A21" s="10"/>
      <c r="B21" s="10"/>
      <c r="C21" s="10"/>
      <c r="D21" s="10"/>
      <c r="E21" s="10"/>
      <c r="F21" s="44" t="s">
        <v>712</v>
      </c>
      <c r="G21" s="44"/>
      <c r="H21" s="44"/>
      <c r="I21" s="45">
        <f>ROUND((Source!F763)/1000, 2)</f>
        <v>0</v>
      </c>
      <c r="J21" s="45"/>
      <c r="K21" s="10" t="s">
        <v>711</v>
      </c>
    </row>
    <row r="22" spans="1:11" ht="14.25" hidden="1" customHeight="1" x14ac:dyDescent="0.2">
      <c r="A22" s="10"/>
      <c r="B22" s="10"/>
      <c r="C22" s="10"/>
      <c r="D22" s="10"/>
      <c r="E22" s="10"/>
      <c r="F22" s="44" t="s">
        <v>713</v>
      </c>
      <c r="G22" s="44"/>
      <c r="H22" s="44"/>
      <c r="I22" s="45">
        <f>ROUND((Source!F764)/1000, 2)</f>
        <v>0</v>
      </c>
      <c r="J22" s="45"/>
      <c r="K22" s="10" t="s">
        <v>711</v>
      </c>
    </row>
    <row r="23" spans="1:11" ht="14.25" hidden="1" customHeight="1" x14ac:dyDescent="0.2">
      <c r="A23" s="10"/>
      <c r="B23" s="10"/>
      <c r="C23" s="10"/>
      <c r="D23" s="10"/>
      <c r="E23" s="10"/>
      <c r="F23" s="44" t="s">
        <v>714</v>
      </c>
      <c r="G23" s="44"/>
      <c r="H23" s="44"/>
      <c r="I23" s="45">
        <f>ROUND((Source!F755)/1000, 2)</f>
        <v>0</v>
      </c>
      <c r="J23" s="45"/>
      <c r="K23" s="10" t="s">
        <v>711</v>
      </c>
    </row>
    <row r="24" spans="1:11" ht="14.25" hidden="1" customHeight="1" x14ac:dyDescent="0.2">
      <c r="A24" s="10"/>
      <c r="B24" s="10"/>
      <c r="C24" s="10"/>
      <c r="D24" s="10"/>
      <c r="E24" s="10"/>
      <c r="F24" s="44" t="s">
        <v>715</v>
      </c>
      <c r="G24" s="44"/>
      <c r="H24" s="44"/>
      <c r="I24" s="45">
        <f>ROUND((Source!F765+Source!F766)/1000, 2)</f>
        <v>1250.1600000000001</v>
      </c>
      <c r="J24" s="45"/>
      <c r="K24" s="10" t="s">
        <v>711</v>
      </c>
    </row>
    <row r="25" spans="1:11" ht="14.25" x14ac:dyDescent="0.2">
      <c r="A25" s="10"/>
      <c r="B25" s="10"/>
      <c r="C25" s="10"/>
      <c r="D25" s="10"/>
      <c r="E25" s="10"/>
      <c r="F25" s="44" t="s">
        <v>716</v>
      </c>
      <c r="G25" s="44"/>
      <c r="H25" s="44"/>
      <c r="I25" s="45">
        <f>(Source!F761+ Source!F760)/1000</f>
        <v>686.22190000000001</v>
      </c>
      <c r="J25" s="45"/>
      <c r="K25" s="10" t="s">
        <v>711</v>
      </c>
    </row>
    <row r="26" spans="1:11" ht="14.25" x14ac:dyDescent="0.2">
      <c r="A26" s="10" t="s">
        <v>730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customHeight="1" x14ac:dyDescent="0.2">
      <c r="A27" s="47" t="s">
        <v>717</v>
      </c>
      <c r="B27" s="47" t="s">
        <v>718</v>
      </c>
      <c r="C27" s="47" t="s">
        <v>719</v>
      </c>
      <c r="D27" s="47" t="s">
        <v>720</v>
      </c>
      <c r="E27" s="47" t="s">
        <v>721</v>
      </c>
      <c r="F27" s="47" t="s">
        <v>722</v>
      </c>
      <c r="G27" s="47" t="s">
        <v>723</v>
      </c>
      <c r="H27" s="47" t="s">
        <v>724</v>
      </c>
      <c r="I27" s="47" t="s">
        <v>725</v>
      </c>
      <c r="J27" s="47" t="s">
        <v>726</v>
      </c>
      <c r="K27" s="16" t="s">
        <v>727</v>
      </c>
    </row>
    <row r="28" spans="1:11" ht="28.5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17" t="s">
        <v>728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729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customHeight="1" x14ac:dyDescent="0.25">
      <c r="A32" s="50" t="str">
        <f>CONCATENATE("Локальная смета: ",IF(Source!G20&lt;&gt;"Новая локальная смета", Source!G20, ""))</f>
        <v>Локальная смета: 1.1 Киносклад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4" spans="1:22" ht="16.5" customHeight="1" x14ac:dyDescent="0.25">
      <c r="A34" s="50" t="str">
        <f>CONCATENATE("Раздел: ",IF(Source!G24&lt;&gt;"Новый раздел", Source!G24, ""))</f>
        <v>Раздел: Раздел: 1. Внутреннее водоснабжение и водоотведение.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5" spans="1:22" ht="42.75" x14ac:dyDescent="0.2">
      <c r="A35" s="18">
        <v>1</v>
      </c>
      <c r="B35" s="18" t="str">
        <f>Source!F32</f>
        <v>1.15-2203-9-1/1</v>
      </c>
      <c r="C35" s="18" t="str">
        <f>Source!G32</f>
        <v>Техническое обслуживание клапанов обратных фланцевых диаметром 50 мм</v>
      </c>
      <c r="D35" s="19" t="str">
        <f>Source!H32</f>
        <v>шт.</v>
      </c>
      <c r="E35" s="9">
        <f>Source!I32</f>
        <v>5</v>
      </c>
      <c r="F35" s="21"/>
      <c r="G35" s="20"/>
      <c r="H35" s="9"/>
      <c r="I35" s="9"/>
      <c r="J35" s="21"/>
      <c r="K35" s="21"/>
      <c r="Q35">
        <f>ROUND((Source!BZ32/100)*ROUND((Source!AF32*Source!AV32)*Source!I32, 2), 2)</f>
        <v>275.45</v>
      </c>
      <c r="R35">
        <f>Source!X32</f>
        <v>275.45</v>
      </c>
      <c r="S35">
        <f>ROUND((Source!CA32/100)*ROUND((Source!AF32*Source!AV32)*Source!I32, 2), 2)</f>
        <v>39.35</v>
      </c>
      <c r="T35">
        <f>Source!Y32</f>
        <v>39.35</v>
      </c>
      <c r="U35">
        <f>ROUND((175/100)*ROUND((Source!AE32*Source!AV32)*Source!I32, 2), 2)</f>
        <v>0</v>
      </c>
      <c r="V35">
        <f>ROUND((108/100)*ROUND(Source!CS32*Source!I32, 2), 2)</f>
        <v>0</v>
      </c>
    </row>
    <row r="36" spans="1:22" ht="14.25" x14ac:dyDescent="0.2">
      <c r="A36" s="18"/>
      <c r="B36" s="18"/>
      <c r="C36" s="18" t="s">
        <v>731</v>
      </c>
      <c r="D36" s="19"/>
      <c r="E36" s="9"/>
      <c r="F36" s="21">
        <f>Source!AO32</f>
        <v>78.7</v>
      </c>
      <c r="G36" s="20" t="str">
        <f>Source!DG32</f>
        <v/>
      </c>
      <c r="H36" s="9">
        <f>Source!AV32</f>
        <v>1</v>
      </c>
      <c r="I36" s="9">
        <f>IF(Source!BA32&lt;&gt; 0, Source!BA32, 1)</f>
        <v>1</v>
      </c>
      <c r="J36" s="21">
        <f>Source!S32</f>
        <v>393.5</v>
      </c>
      <c r="K36" s="21"/>
    </row>
    <row r="37" spans="1:22" ht="14.25" x14ac:dyDescent="0.2">
      <c r="A37" s="18"/>
      <c r="B37" s="18"/>
      <c r="C37" s="18" t="s">
        <v>732</v>
      </c>
      <c r="D37" s="19"/>
      <c r="E37" s="9"/>
      <c r="F37" s="21">
        <f>Source!AL32</f>
        <v>0.31</v>
      </c>
      <c r="G37" s="20" t="str">
        <f>Source!DD32</f>
        <v/>
      </c>
      <c r="H37" s="9">
        <f>Source!AW32</f>
        <v>1</v>
      </c>
      <c r="I37" s="9">
        <f>IF(Source!BC32&lt;&gt; 0, Source!BC32, 1)</f>
        <v>1</v>
      </c>
      <c r="J37" s="21">
        <f>Source!P32</f>
        <v>1.55</v>
      </c>
      <c r="K37" s="21"/>
    </row>
    <row r="38" spans="1:22" ht="14.25" x14ac:dyDescent="0.2">
      <c r="A38" s="18"/>
      <c r="B38" s="18"/>
      <c r="C38" s="18" t="s">
        <v>733</v>
      </c>
      <c r="D38" s="19" t="s">
        <v>734</v>
      </c>
      <c r="E38" s="9">
        <f>Source!AT32</f>
        <v>70</v>
      </c>
      <c r="F38" s="21"/>
      <c r="G38" s="20"/>
      <c r="H38" s="9"/>
      <c r="I38" s="9"/>
      <c r="J38" s="21">
        <f>SUM(R35:R37)</f>
        <v>275.45</v>
      </c>
      <c r="K38" s="21"/>
    </row>
    <row r="39" spans="1:22" ht="14.25" x14ac:dyDescent="0.2">
      <c r="A39" s="18"/>
      <c r="B39" s="18"/>
      <c r="C39" s="18" t="s">
        <v>735</v>
      </c>
      <c r="D39" s="19" t="s">
        <v>734</v>
      </c>
      <c r="E39" s="9">
        <f>Source!AU32</f>
        <v>10</v>
      </c>
      <c r="F39" s="21"/>
      <c r="G39" s="20"/>
      <c r="H39" s="9"/>
      <c r="I39" s="9"/>
      <c r="J39" s="21">
        <f>SUM(T35:T38)</f>
        <v>39.35</v>
      </c>
      <c r="K39" s="21"/>
    </row>
    <row r="40" spans="1:22" ht="14.25" x14ac:dyDescent="0.2">
      <c r="A40" s="18"/>
      <c r="B40" s="18"/>
      <c r="C40" s="18" t="s">
        <v>736</v>
      </c>
      <c r="D40" s="19" t="s">
        <v>737</v>
      </c>
      <c r="E40" s="9">
        <f>Source!AQ32</f>
        <v>0.14000000000000001</v>
      </c>
      <c r="F40" s="21"/>
      <c r="G40" s="20" t="str">
        <f>Source!DI32</f>
        <v/>
      </c>
      <c r="H40" s="9">
        <f>Source!AV32</f>
        <v>1</v>
      </c>
      <c r="I40" s="9"/>
      <c r="J40" s="21"/>
      <c r="K40" s="21">
        <f>Source!U32</f>
        <v>0.70000000000000007</v>
      </c>
    </row>
    <row r="41" spans="1:22" ht="15" x14ac:dyDescent="0.25">
      <c r="A41" s="23"/>
      <c r="B41" s="23"/>
      <c r="C41" s="23"/>
      <c r="D41" s="23"/>
      <c r="E41" s="23"/>
      <c r="F41" s="23"/>
      <c r="G41" s="23"/>
      <c r="H41" s="23"/>
      <c r="I41" s="51">
        <f>J36+J37+J38+J39</f>
        <v>709.85</v>
      </c>
      <c r="J41" s="51"/>
      <c r="K41" s="24">
        <f>IF(Source!I32&lt;&gt;0, ROUND(I41/Source!I32, 2), 0)</f>
        <v>141.97</v>
      </c>
      <c r="P41" s="22">
        <f>I41</f>
        <v>709.85</v>
      </c>
    </row>
    <row r="42" spans="1:22" ht="42.75" x14ac:dyDescent="0.2">
      <c r="A42" s="18">
        <v>2</v>
      </c>
      <c r="B42" s="18" t="str">
        <f>Source!F33</f>
        <v>1.15-2203-7-2/1</v>
      </c>
      <c r="C42" s="18" t="str">
        <f>Source!G33</f>
        <v>Техническое обслуживание крана шарового латунного никелированного диаметром до 50 мм</v>
      </c>
      <c r="D42" s="19" t="str">
        <f>Source!H33</f>
        <v>10 шт.</v>
      </c>
      <c r="E42" s="9">
        <f>Source!I33</f>
        <v>0.5</v>
      </c>
      <c r="F42" s="21"/>
      <c r="G42" s="20"/>
      <c r="H42" s="9"/>
      <c r="I42" s="9"/>
      <c r="J42" s="21"/>
      <c r="K42" s="21"/>
      <c r="Q42">
        <f>ROUND((Source!BZ33/100)*ROUND((Source!AF33*Source!AV33)*Source!I33, 2), 2)</f>
        <v>131.84</v>
      </c>
      <c r="R42">
        <f>Source!X33</f>
        <v>131.84</v>
      </c>
      <c r="S42">
        <f>ROUND((Source!CA33/100)*ROUND((Source!AF33*Source!AV33)*Source!I33, 2), 2)</f>
        <v>18.829999999999998</v>
      </c>
      <c r="T42">
        <f>Source!Y33</f>
        <v>18.829999999999998</v>
      </c>
      <c r="U42">
        <f>ROUND((175/100)*ROUND((Source!AE33*Source!AV33)*Source!I33, 2), 2)</f>
        <v>0</v>
      </c>
      <c r="V42">
        <f>ROUND((108/100)*ROUND(Source!CS33*Source!I33, 2), 2)</f>
        <v>0</v>
      </c>
    </row>
    <row r="43" spans="1:22" x14ac:dyDescent="0.2">
      <c r="C43" s="25" t="str">
        <f>"Объем: "&amp;Source!I33&amp;"=5/"&amp;"10"</f>
        <v>Объем: 0,5=5/10</v>
      </c>
    </row>
    <row r="44" spans="1:22" ht="14.25" x14ac:dyDescent="0.2">
      <c r="A44" s="18"/>
      <c r="B44" s="18"/>
      <c r="C44" s="18" t="s">
        <v>731</v>
      </c>
      <c r="D44" s="19"/>
      <c r="E44" s="9"/>
      <c r="F44" s="21">
        <f>Source!AO33</f>
        <v>376.67</v>
      </c>
      <c r="G44" s="20" t="str">
        <f>Source!DG33</f>
        <v/>
      </c>
      <c r="H44" s="9">
        <f>Source!AV33</f>
        <v>1</v>
      </c>
      <c r="I44" s="9">
        <f>IF(Source!BA33&lt;&gt; 0, Source!BA33, 1)</f>
        <v>1</v>
      </c>
      <c r="J44" s="21">
        <f>Source!S33</f>
        <v>188.34</v>
      </c>
      <c r="K44" s="21"/>
    </row>
    <row r="45" spans="1:22" ht="14.25" x14ac:dyDescent="0.2">
      <c r="A45" s="18"/>
      <c r="B45" s="18"/>
      <c r="C45" s="18" t="s">
        <v>733</v>
      </c>
      <c r="D45" s="19" t="s">
        <v>734</v>
      </c>
      <c r="E45" s="9">
        <f>Source!AT33</f>
        <v>70</v>
      </c>
      <c r="F45" s="21"/>
      <c r="G45" s="20"/>
      <c r="H45" s="9"/>
      <c r="I45" s="9"/>
      <c r="J45" s="21">
        <f>SUM(R42:R44)</f>
        <v>131.84</v>
      </c>
      <c r="K45" s="21"/>
    </row>
    <row r="46" spans="1:22" ht="14.25" x14ac:dyDescent="0.2">
      <c r="A46" s="18"/>
      <c r="B46" s="18"/>
      <c r="C46" s="18" t="s">
        <v>735</v>
      </c>
      <c r="D46" s="19" t="s">
        <v>734</v>
      </c>
      <c r="E46" s="9">
        <f>Source!AU33</f>
        <v>10</v>
      </c>
      <c r="F46" s="21"/>
      <c r="G46" s="20"/>
      <c r="H46" s="9"/>
      <c r="I46" s="9"/>
      <c r="J46" s="21">
        <f>SUM(T42:T45)</f>
        <v>18.829999999999998</v>
      </c>
      <c r="K46" s="21"/>
    </row>
    <row r="47" spans="1:22" ht="14.25" x14ac:dyDescent="0.2">
      <c r="A47" s="18"/>
      <c r="B47" s="18"/>
      <c r="C47" s="18" t="s">
        <v>736</v>
      </c>
      <c r="D47" s="19" t="s">
        <v>737</v>
      </c>
      <c r="E47" s="9">
        <f>Source!AQ33</f>
        <v>0.61</v>
      </c>
      <c r="F47" s="21"/>
      <c r="G47" s="20" t="str">
        <f>Source!DI33</f>
        <v/>
      </c>
      <c r="H47" s="9">
        <f>Source!AV33</f>
        <v>1</v>
      </c>
      <c r="I47" s="9"/>
      <c r="J47" s="21"/>
      <c r="K47" s="21">
        <f>Source!U33</f>
        <v>0.30499999999999999</v>
      </c>
    </row>
    <row r="48" spans="1:22" ht="15" x14ac:dyDescent="0.25">
      <c r="A48" s="23"/>
      <c r="B48" s="23"/>
      <c r="C48" s="23"/>
      <c r="D48" s="23"/>
      <c r="E48" s="23"/>
      <c r="F48" s="23"/>
      <c r="G48" s="23"/>
      <c r="H48" s="23"/>
      <c r="I48" s="51">
        <f>J44+J45+J46</f>
        <v>339.01</v>
      </c>
      <c r="J48" s="51"/>
      <c r="K48" s="24">
        <f>IF(Source!I33&lt;&gt;0, ROUND(I48/Source!I33, 2), 0)</f>
        <v>678.02</v>
      </c>
      <c r="P48" s="22">
        <f>I48</f>
        <v>339.01</v>
      </c>
    </row>
    <row r="50" spans="1:22" ht="15" customHeight="1" x14ac:dyDescent="0.25">
      <c r="A50" s="54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0" s="54"/>
      <c r="C50" s="54"/>
      <c r="D50" s="54"/>
      <c r="E50" s="54"/>
      <c r="F50" s="54"/>
      <c r="G50" s="54"/>
      <c r="H50" s="54"/>
      <c r="I50" s="53">
        <f>SUM(P34:P49)</f>
        <v>1048.8600000000001</v>
      </c>
      <c r="J50" s="53"/>
      <c r="K50" s="26"/>
    </row>
    <row r="53" spans="1:22" ht="16.5" customHeight="1" x14ac:dyDescent="0.25">
      <c r="A53" s="50" t="str">
        <f>CONCATENATE("Раздел: ",IF(Source!G66&lt;&gt;"Новый раздел", Source!G66, ""))</f>
        <v>Раздел: Раздел: 2. Внутренние сети отопления и ИТП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</row>
    <row r="55" spans="1:22" ht="16.5" customHeight="1" x14ac:dyDescent="0.25">
      <c r="A55" s="50" t="str">
        <f>CONCATENATE("Подраздел: ",IF(Source!G70&lt;&gt;"Новый подраздел", Source!G70, ""))</f>
        <v>Подраздел: 2.1 Отопление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</row>
    <row r="56" spans="1:22" ht="42.75" x14ac:dyDescent="0.2">
      <c r="A56" s="18">
        <v>3</v>
      </c>
      <c r="B56" s="18" t="str">
        <f>Source!F75</f>
        <v>1.17-2103-9-1/1</v>
      </c>
      <c r="C56" s="18" t="str">
        <f>Source!G75</f>
        <v>Техническое обслуживание напольных тепловентиляторов для систем на базе тепловых насосов</v>
      </c>
      <c r="D56" s="19" t="str">
        <f>Source!H75</f>
        <v>10 шт.</v>
      </c>
      <c r="E56" s="9">
        <f>Source!I75</f>
        <v>3.2</v>
      </c>
      <c r="F56" s="21"/>
      <c r="G56" s="20"/>
      <c r="H56" s="9"/>
      <c r="I56" s="9"/>
      <c r="J56" s="21"/>
      <c r="K56" s="21"/>
      <c r="Q56">
        <f>ROUND((Source!BZ75/100)*ROUND((Source!AF75*Source!AV75)*Source!I75, 2), 2)</f>
        <v>1078.58</v>
      </c>
      <c r="R56">
        <f>Source!X75</f>
        <v>1078.58</v>
      </c>
      <c r="S56">
        <f>ROUND((Source!CA75/100)*ROUND((Source!AF75*Source!AV75)*Source!I75, 2), 2)</f>
        <v>154.08000000000001</v>
      </c>
      <c r="T56">
        <f>Source!Y75</f>
        <v>154.08000000000001</v>
      </c>
      <c r="U56">
        <f>ROUND((175/100)*ROUND((Source!AE75*Source!AV75)*Source!I75, 2), 2)</f>
        <v>3423.79</v>
      </c>
      <c r="V56">
        <f>ROUND((108/100)*ROUND(Source!CS75*Source!I75, 2), 2)</f>
        <v>2112.9699999999998</v>
      </c>
    </row>
    <row r="57" spans="1:22" x14ac:dyDescent="0.2">
      <c r="C57" s="25" t="str">
        <f>"Объем: "&amp;Source!I75&amp;"=32/"&amp;"10"</f>
        <v>Объем: 3,2=32/10</v>
      </c>
    </row>
    <row r="58" spans="1:22" ht="14.25" x14ac:dyDescent="0.2">
      <c r="A58" s="18"/>
      <c r="B58" s="18"/>
      <c r="C58" s="18" t="s">
        <v>731</v>
      </c>
      <c r="D58" s="19"/>
      <c r="E58" s="9"/>
      <c r="F58" s="21">
        <f>Source!AO75</f>
        <v>481.51</v>
      </c>
      <c r="G58" s="20" t="str">
        <f>Source!DG75</f>
        <v/>
      </c>
      <c r="H58" s="9">
        <f>Source!AV75</f>
        <v>1</v>
      </c>
      <c r="I58" s="9">
        <f>IF(Source!BA75&lt;&gt; 0, Source!BA75, 1)</f>
        <v>1</v>
      </c>
      <c r="J58" s="21">
        <f>Source!S75</f>
        <v>1540.83</v>
      </c>
      <c r="K58" s="21"/>
    </row>
    <row r="59" spans="1:22" ht="14.25" x14ac:dyDescent="0.2">
      <c r="A59" s="18"/>
      <c r="B59" s="18"/>
      <c r="C59" s="18" t="s">
        <v>738</v>
      </c>
      <c r="D59" s="19"/>
      <c r="E59" s="9"/>
      <c r="F59" s="21">
        <f>Source!AM75</f>
        <v>964.23</v>
      </c>
      <c r="G59" s="20" t="str">
        <f>Source!DE75</f>
        <v/>
      </c>
      <c r="H59" s="9">
        <f>Source!AV75</f>
        <v>1</v>
      </c>
      <c r="I59" s="9">
        <f>IF(Source!BB75&lt;&gt; 0, Source!BB75, 1)</f>
        <v>1</v>
      </c>
      <c r="J59" s="21">
        <f>Source!Q75</f>
        <v>3085.54</v>
      </c>
      <c r="K59" s="21"/>
    </row>
    <row r="60" spans="1:22" ht="14.25" x14ac:dyDescent="0.2">
      <c r="A60" s="18"/>
      <c r="B60" s="18"/>
      <c r="C60" s="18" t="s">
        <v>739</v>
      </c>
      <c r="D60" s="19"/>
      <c r="E60" s="9"/>
      <c r="F60" s="21">
        <f>Source!AN75</f>
        <v>611.39</v>
      </c>
      <c r="G60" s="20" t="str">
        <f>Source!DF75</f>
        <v/>
      </c>
      <c r="H60" s="9">
        <f>Source!AV75</f>
        <v>1</v>
      </c>
      <c r="I60" s="9">
        <f>IF(Source!BS75&lt;&gt; 0, Source!BS75, 1)</f>
        <v>1</v>
      </c>
      <c r="J60" s="27">
        <f>Source!R75</f>
        <v>1956.45</v>
      </c>
      <c r="K60" s="21"/>
    </row>
    <row r="61" spans="1:22" ht="14.25" x14ac:dyDescent="0.2">
      <c r="A61" s="18"/>
      <c r="B61" s="18"/>
      <c r="C61" s="18" t="s">
        <v>732</v>
      </c>
      <c r="D61" s="19"/>
      <c r="E61" s="9"/>
      <c r="F61" s="21">
        <f>Source!AL75</f>
        <v>3.15</v>
      </c>
      <c r="G61" s="20" t="str">
        <f>Source!DD75</f>
        <v/>
      </c>
      <c r="H61" s="9">
        <f>Source!AW75</f>
        <v>1</v>
      </c>
      <c r="I61" s="9">
        <f>IF(Source!BC75&lt;&gt; 0, Source!BC75, 1)</f>
        <v>1</v>
      </c>
      <c r="J61" s="21">
        <f>Source!P75</f>
        <v>10.08</v>
      </c>
      <c r="K61" s="21"/>
    </row>
    <row r="62" spans="1:22" ht="14.25" x14ac:dyDescent="0.2">
      <c r="A62" s="18"/>
      <c r="B62" s="18"/>
      <c r="C62" s="18" t="s">
        <v>733</v>
      </c>
      <c r="D62" s="19" t="s">
        <v>734</v>
      </c>
      <c r="E62" s="9">
        <f>Source!AT75</f>
        <v>70</v>
      </c>
      <c r="F62" s="21"/>
      <c r="G62" s="20"/>
      <c r="H62" s="9"/>
      <c r="I62" s="9"/>
      <c r="J62" s="21">
        <f>SUM(R56:R61)</f>
        <v>1078.58</v>
      </c>
      <c r="K62" s="21"/>
    </row>
    <row r="63" spans="1:22" ht="14.25" x14ac:dyDescent="0.2">
      <c r="A63" s="18"/>
      <c r="B63" s="18"/>
      <c r="C63" s="18" t="s">
        <v>735</v>
      </c>
      <c r="D63" s="19" t="s">
        <v>734</v>
      </c>
      <c r="E63" s="9">
        <f>Source!AU75</f>
        <v>10</v>
      </c>
      <c r="F63" s="21"/>
      <c r="G63" s="20"/>
      <c r="H63" s="9"/>
      <c r="I63" s="9"/>
      <c r="J63" s="21">
        <f>SUM(T56:T62)</f>
        <v>154.08000000000001</v>
      </c>
      <c r="K63" s="21"/>
    </row>
    <row r="64" spans="1:22" ht="14.25" x14ac:dyDescent="0.2">
      <c r="A64" s="18"/>
      <c r="B64" s="18"/>
      <c r="C64" s="18" t="s">
        <v>740</v>
      </c>
      <c r="D64" s="19" t="s">
        <v>734</v>
      </c>
      <c r="E64" s="9">
        <f>108</f>
        <v>108</v>
      </c>
      <c r="F64" s="21"/>
      <c r="G64" s="20"/>
      <c r="H64" s="9"/>
      <c r="I64" s="9"/>
      <c r="J64" s="21">
        <f>SUM(V56:V63)</f>
        <v>2112.9699999999998</v>
      </c>
      <c r="K64" s="21"/>
    </row>
    <row r="65" spans="1:22" ht="14.25" x14ac:dyDescent="0.2">
      <c r="A65" s="18"/>
      <c r="B65" s="18"/>
      <c r="C65" s="18" t="s">
        <v>736</v>
      </c>
      <c r="D65" s="19" t="s">
        <v>737</v>
      </c>
      <c r="E65" s="9">
        <f>Source!AQ75</f>
        <v>0.95</v>
      </c>
      <c r="F65" s="21"/>
      <c r="G65" s="20" t="str">
        <f>Source!DI75</f>
        <v/>
      </c>
      <c r="H65" s="9">
        <f>Source!AV75</f>
        <v>1</v>
      </c>
      <c r="I65" s="9"/>
      <c r="J65" s="21"/>
      <c r="K65" s="21">
        <f>Source!U75</f>
        <v>3.04</v>
      </c>
    </row>
    <row r="66" spans="1:22" ht="15" x14ac:dyDescent="0.25">
      <c r="A66" s="23"/>
      <c r="B66" s="23"/>
      <c r="C66" s="23"/>
      <c r="D66" s="23"/>
      <c r="E66" s="23"/>
      <c r="F66" s="23"/>
      <c r="G66" s="23"/>
      <c r="H66" s="23"/>
      <c r="I66" s="51">
        <f>J58+J59+J61+J62+J63+J64</f>
        <v>7982.08</v>
      </c>
      <c r="J66" s="51"/>
      <c r="K66" s="24">
        <f>IF(Source!I75&lt;&gt;0, ROUND(I66/Source!I75, 2), 0)</f>
        <v>2494.4</v>
      </c>
      <c r="P66" s="22">
        <f>I66</f>
        <v>7982.08</v>
      </c>
    </row>
    <row r="68" spans="1:22" ht="15" customHeight="1" x14ac:dyDescent="0.25">
      <c r="A68" s="54" t="str">
        <f>CONCATENATE("Итого по подразделу: ",IF(Source!G77&lt;&gt;"Новый подраздел", Source!G77, ""))</f>
        <v>Итого по подразделу: 2.1 Отопление</v>
      </c>
      <c r="B68" s="54"/>
      <c r="C68" s="54"/>
      <c r="D68" s="54"/>
      <c r="E68" s="54"/>
      <c r="F68" s="54"/>
      <c r="G68" s="54"/>
      <c r="H68" s="54"/>
      <c r="I68" s="53">
        <f>SUM(P55:P67)</f>
        <v>7982.08</v>
      </c>
      <c r="J68" s="53"/>
      <c r="K68" s="26"/>
    </row>
    <row r="71" spans="1:22" ht="16.5" customHeight="1" x14ac:dyDescent="0.25">
      <c r="A71" s="50" t="str">
        <f>CONCATENATE("Подраздел: ",IF(Source!G107&lt;&gt;"Новый подраздел", Source!G107, ""))</f>
        <v>Подраздел: 2.2 Индивидуальный тепловой пункт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3" spans="1:22" ht="15" customHeight="1" x14ac:dyDescent="0.25">
      <c r="B73" s="52" t="str">
        <f>Source!G111</f>
        <v>Индивидуальный тепловой пункт Автоматизация узла учета тепла</v>
      </c>
      <c r="C73" s="52"/>
      <c r="D73" s="52"/>
      <c r="E73" s="52"/>
      <c r="F73" s="52"/>
      <c r="G73" s="52"/>
      <c r="H73" s="52"/>
      <c r="I73" s="52"/>
      <c r="J73" s="52"/>
    </row>
    <row r="74" spans="1:22" ht="99.75" x14ac:dyDescent="0.2">
      <c r="A74" s="18">
        <v>4</v>
      </c>
      <c r="B74" s="18" t="str">
        <f>Source!F112</f>
        <v>1.23-2303-5-1/1</v>
      </c>
      <c r="C74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D74" s="19" t="str">
        <f>Source!H112</f>
        <v>шт.</v>
      </c>
      <c r="E74" s="9">
        <f>Source!I112</f>
        <v>1</v>
      </c>
      <c r="F74" s="21"/>
      <c r="G74" s="20"/>
      <c r="H74" s="9"/>
      <c r="I74" s="9"/>
      <c r="J74" s="21"/>
      <c r="K74" s="21"/>
      <c r="Q74">
        <f>ROUND((Source!BZ112/100)*ROUND((Source!AF112*Source!AV112)*Source!I112, 2), 2)</f>
        <v>1142.04</v>
      </c>
      <c r="R74">
        <f>Source!X112</f>
        <v>1142.04</v>
      </c>
      <c r="S74">
        <f>ROUND((Source!CA112/100)*ROUND((Source!AF112*Source!AV112)*Source!I112, 2), 2)</f>
        <v>163.15</v>
      </c>
      <c r="T74">
        <f>Source!Y112</f>
        <v>163.15</v>
      </c>
      <c r="U74">
        <f>ROUND((175/100)*ROUND((Source!AE112*Source!AV112)*Source!I112, 2), 2)</f>
        <v>0</v>
      </c>
      <c r="V74">
        <f>ROUND((108/100)*ROUND(Source!CS112*Source!I112, 2), 2)</f>
        <v>0</v>
      </c>
    </row>
    <row r="75" spans="1:22" ht="14.25" x14ac:dyDescent="0.2">
      <c r="A75" s="18"/>
      <c r="B75" s="18"/>
      <c r="C75" s="18" t="s">
        <v>731</v>
      </c>
      <c r="D75" s="19"/>
      <c r="E75" s="9"/>
      <c r="F75" s="21">
        <f>Source!AO112</f>
        <v>815.74</v>
      </c>
      <c r="G75" s="20" t="str">
        <f>Source!DG112</f>
        <v>)*2</v>
      </c>
      <c r="H75" s="9">
        <f>Source!AV112</f>
        <v>1</v>
      </c>
      <c r="I75" s="9">
        <f>IF(Source!BA112&lt;&gt; 0, Source!BA112, 1)</f>
        <v>1</v>
      </c>
      <c r="J75" s="21">
        <f>Source!S112</f>
        <v>1631.48</v>
      </c>
      <c r="K75" s="21"/>
    </row>
    <row r="76" spans="1:22" ht="14.25" x14ac:dyDescent="0.2">
      <c r="A76" s="18"/>
      <c r="B76" s="18"/>
      <c r="C76" s="18" t="s">
        <v>733</v>
      </c>
      <c r="D76" s="19" t="s">
        <v>734</v>
      </c>
      <c r="E76" s="9">
        <f>Source!AT112</f>
        <v>70</v>
      </c>
      <c r="F76" s="21"/>
      <c r="G76" s="20"/>
      <c r="H76" s="9"/>
      <c r="I76" s="9"/>
      <c r="J76" s="21">
        <f>SUM(R74:R75)</f>
        <v>1142.04</v>
      </c>
      <c r="K76" s="21"/>
    </row>
    <row r="77" spans="1:22" ht="14.25" x14ac:dyDescent="0.2">
      <c r="A77" s="18"/>
      <c r="B77" s="18"/>
      <c r="C77" s="18" t="s">
        <v>735</v>
      </c>
      <c r="D77" s="19" t="s">
        <v>734</v>
      </c>
      <c r="E77" s="9">
        <f>Source!AU112</f>
        <v>10</v>
      </c>
      <c r="F77" s="21"/>
      <c r="G77" s="20"/>
      <c r="H77" s="9"/>
      <c r="I77" s="9"/>
      <c r="J77" s="21">
        <f>SUM(T74:T76)</f>
        <v>163.15</v>
      </c>
      <c r="K77" s="21"/>
    </row>
    <row r="78" spans="1:22" ht="14.25" x14ac:dyDescent="0.2">
      <c r="A78" s="18"/>
      <c r="B78" s="18"/>
      <c r="C78" s="18" t="s">
        <v>736</v>
      </c>
      <c r="D78" s="19" t="s">
        <v>737</v>
      </c>
      <c r="E78" s="9">
        <f>Source!AQ112</f>
        <v>1.06</v>
      </c>
      <c r="F78" s="21"/>
      <c r="G78" s="20" t="str">
        <f>Source!DI112</f>
        <v>)*2</v>
      </c>
      <c r="H78" s="9">
        <f>Source!AV112</f>
        <v>1</v>
      </c>
      <c r="I78" s="9"/>
      <c r="J78" s="21"/>
      <c r="K78" s="21">
        <f>Source!U112</f>
        <v>2.12</v>
      </c>
    </row>
    <row r="79" spans="1:22" ht="15" x14ac:dyDescent="0.25">
      <c r="A79" s="23"/>
      <c r="B79" s="23"/>
      <c r="C79" s="23"/>
      <c r="D79" s="23"/>
      <c r="E79" s="23"/>
      <c r="F79" s="23"/>
      <c r="G79" s="23"/>
      <c r="H79" s="23"/>
      <c r="I79" s="51">
        <f>J75+J76+J77</f>
        <v>2936.67</v>
      </c>
      <c r="J79" s="51"/>
      <c r="K79" s="24">
        <f>IF(Source!I112&lt;&gt;0, ROUND(I79/Source!I112, 2), 0)</f>
        <v>2936.67</v>
      </c>
      <c r="P79" s="22">
        <f>I79</f>
        <v>2936.67</v>
      </c>
    </row>
    <row r="80" spans="1:22" ht="28.5" x14ac:dyDescent="0.2">
      <c r="A80" s="18">
        <v>5</v>
      </c>
      <c r="B80" s="18" t="str">
        <f>Source!F113</f>
        <v>1.22-2103-2-1/1</v>
      </c>
      <c r="C80" s="18" t="str">
        <f>Source!G113</f>
        <v>Техническое обслуживание сетевой линии связи</v>
      </c>
      <c r="D80" s="19" t="str">
        <f>Source!H113</f>
        <v>100 м</v>
      </c>
      <c r="E80" s="9">
        <f>Source!I113</f>
        <v>0.6</v>
      </c>
      <c r="F80" s="21"/>
      <c r="G80" s="20"/>
      <c r="H80" s="9"/>
      <c r="I80" s="9"/>
      <c r="J80" s="21"/>
      <c r="K80" s="21"/>
      <c r="Q80">
        <f>ROUND((Source!BZ113/100)*ROUND((Source!AF113*Source!AV113)*Source!I113, 2), 2)</f>
        <v>208.64</v>
      </c>
      <c r="R80">
        <f>Source!X113</f>
        <v>208.64</v>
      </c>
      <c r="S80">
        <f>ROUND((Source!CA113/100)*ROUND((Source!AF113*Source!AV113)*Source!I113, 2), 2)</f>
        <v>29.81</v>
      </c>
      <c r="T80">
        <f>Source!Y113</f>
        <v>29.81</v>
      </c>
      <c r="U80">
        <f>ROUND((175/100)*ROUND((Source!AE113*Source!AV113)*Source!I113, 2), 2)</f>
        <v>0</v>
      </c>
      <c r="V80">
        <f>ROUND((108/100)*ROUND(Source!CS113*Source!I113, 2), 2)</f>
        <v>0</v>
      </c>
    </row>
    <row r="81" spans="1:22" x14ac:dyDescent="0.2">
      <c r="C81" s="25" t="str">
        <f>"Объем: "&amp;Source!I113&amp;"=(40+"&amp;"20)/"&amp;"100"</f>
        <v>Объем: 0,6=(40+20)/100</v>
      </c>
    </row>
    <row r="82" spans="1:22" ht="14.25" x14ac:dyDescent="0.2">
      <c r="A82" s="18"/>
      <c r="B82" s="18"/>
      <c r="C82" s="18" t="s">
        <v>731</v>
      </c>
      <c r="D82" s="19"/>
      <c r="E82" s="9"/>
      <c r="F82" s="21">
        <f>Source!AO113</f>
        <v>496.76</v>
      </c>
      <c r="G82" s="20" t="str">
        <f>Source!DG113</f>
        <v/>
      </c>
      <c r="H82" s="9">
        <f>Source!AV113</f>
        <v>1</v>
      </c>
      <c r="I82" s="9">
        <f>IF(Source!BA113&lt;&gt; 0, Source!BA113, 1)</f>
        <v>1</v>
      </c>
      <c r="J82" s="21">
        <f>Source!S113</f>
        <v>298.06</v>
      </c>
      <c r="K82" s="21"/>
    </row>
    <row r="83" spans="1:22" ht="14.25" x14ac:dyDescent="0.2">
      <c r="A83" s="18"/>
      <c r="B83" s="18"/>
      <c r="C83" s="18" t="s">
        <v>733</v>
      </c>
      <c r="D83" s="19" t="s">
        <v>734</v>
      </c>
      <c r="E83" s="9">
        <f>Source!AT113</f>
        <v>70</v>
      </c>
      <c r="F83" s="21"/>
      <c r="G83" s="20"/>
      <c r="H83" s="9"/>
      <c r="I83" s="9"/>
      <c r="J83" s="21">
        <f>SUM(R80:R82)</f>
        <v>208.64</v>
      </c>
      <c r="K83" s="21"/>
    </row>
    <row r="84" spans="1:22" ht="14.25" x14ac:dyDescent="0.2">
      <c r="A84" s="18"/>
      <c r="B84" s="18"/>
      <c r="C84" s="18" t="s">
        <v>735</v>
      </c>
      <c r="D84" s="19" t="s">
        <v>734</v>
      </c>
      <c r="E84" s="9">
        <f>Source!AU113</f>
        <v>10</v>
      </c>
      <c r="F84" s="21"/>
      <c r="G84" s="20"/>
      <c r="H84" s="9"/>
      <c r="I84" s="9"/>
      <c r="J84" s="21">
        <f>SUM(T80:T83)</f>
        <v>29.81</v>
      </c>
      <c r="K84" s="21"/>
    </row>
    <row r="85" spans="1:22" ht="14.25" x14ac:dyDescent="0.2">
      <c r="A85" s="18"/>
      <c r="B85" s="18"/>
      <c r="C85" s="18" t="s">
        <v>736</v>
      </c>
      <c r="D85" s="19" t="s">
        <v>737</v>
      </c>
      <c r="E85" s="9">
        <f>Source!AQ113</f>
        <v>0.7</v>
      </c>
      <c r="F85" s="21"/>
      <c r="G85" s="20" t="str">
        <f>Source!DI113</f>
        <v/>
      </c>
      <c r="H85" s="9">
        <f>Source!AV113</f>
        <v>1</v>
      </c>
      <c r="I85" s="9"/>
      <c r="J85" s="21"/>
      <c r="K85" s="21">
        <f>Source!U113</f>
        <v>0.42</v>
      </c>
    </row>
    <row r="86" spans="1:22" ht="15" x14ac:dyDescent="0.25">
      <c r="A86" s="23"/>
      <c r="B86" s="23"/>
      <c r="C86" s="23"/>
      <c r="D86" s="23"/>
      <c r="E86" s="23"/>
      <c r="F86" s="23"/>
      <c r="G86" s="23"/>
      <c r="H86" s="23"/>
      <c r="I86" s="51">
        <f>J82+J83+J84</f>
        <v>536.51</v>
      </c>
      <c r="J86" s="51"/>
      <c r="K86" s="24">
        <f>IF(Source!I113&lt;&gt;0, ROUND(I86/Source!I113, 2), 0)</f>
        <v>894.18</v>
      </c>
      <c r="P86" s="22">
        <f>I86</f>
        <v>536.51</v>
      </c>
    </row>
    <row r="87" spans="1:22" ht="57" x14ac:dyDescent="0.2">
      <c r="A87" s="18">
        <v>6</v>
      </c>
      <c r="B87" s="18" t="str">
        <f>Source!F114</f>
        <v>1.23-2103-22-3/1</v>
      </c>
      <c r="C87" s="18" t="str">
        <f>Source!G114</f>
        <v>Техническое обслуживание расходомера электромагнитного / Тепловычислитель TB7-04 TB7-04 Данфосс</v>
      </c>
      <c r="D87" s="19" t="str">
        <f>Source!H114</f>
        <v>шт.</v>
      </c>
      <c r="E87" s="9">
        <f>Source!I114</f>
        <v>1</v>
      </c>
      <c r="F87" s="21"/>
      <c r="G87" s="20"/>
      <c r="H87" s="9"/>
      <c r="I87" s="9"/>
      <c r="J87" s="21"/>
      <c r="K87" s="21"/>
      <c r="Q87">
        <f>ROUND((Source!BZ114/100)*ROUND((Source!AF114*Source!AV114)*Source!I114, 2), 2)</f>
        <v>2090.27</v>
      </c>
      <c r="R87">
        <f>Source!X114</f>
        <v>2090.27</v>
      </c>
      <c r="S87">
        <f>ROUND((Source!CA114/100)*ROUND((Source!AF114*Source!AV114)*Source!I114, 2), 2)</f>
        <v>298.61</v>
      </c>
      <c r="T87">
        <f>Source!Y114</f>
        <v>298.61</v>
      </c>
      <c r="U87">
        <f>ROUND((175/100)*ROUND((Source!AE114*Source!AV114)*Source!I114, 2), 2)</f>
        <v>0</v>
      </c>
      <c r="V87">
        <f>ROUND((108/100)*ROUND(Source!CS114*Source!I114, 2), 2)</f>
        <v>0</v>
      </c>
    </row>
    <row r="88" spans="1:22" ht="14.25" x14ac:dyDescent="0.2">
      <c r="A88" s="18"/>
      <c r="B88" s="18"/>
      <c r="C88" s="18" t="s">
        <v>731</v>
      </c>
      <c r="D88" s="19"/>
      <c r="E88" s="9"/>
      <c r="F88" s="21">
        <f>Source!AO114</f>
        <v>1493.05</v>
      </c>
      <c r="G88" s="20" t="str">
        <f>Source!DG114</f>
        <v>)*2</v>
      </c>
      <c r="H88" s="9">
        <f>Source!AV114</f>
        <v>1</v>
      </c>
      <c r="I88" s="9">
        <f>IF(Source!BA114&lt;&gt; 0, Source!BA114, 1)</f>
        <v>1</v>
      </c>
      <c r="J88" s="21">
        <f>Source!S114</f>
        <v>2986.1</v>
      </c>
      <c r="K88" s="21"/>
    </row>
    <row r="89" spans="1:22" ht="14.25" x14ac:dyDescent="0.2">
      <c r="A89" s="18"/>
      <c r="B89" s="18"/>
      <c r="C89" s="18" t="s">
        <v>732</v>
      </c>
      <c r="D89" s="19"/>
      <c r="E89" s="9"/>
      <c r="F89" s="21">
        <f>Source!AL114</f>
        <v>19.14</v>
      </c>
      <c r="G89" s="20" t="str">
        <f>Source!DD114</f>
        <v>)*2</v>
      </c>
      <c r="H89" s="9">
        <f>Source!AW114</f>
        <v>1</v>
      </c>
      <c r="I89" s="9">
        <f>IF(Source!BC114&lt;&gt; 0, Source!BC114, 1)</f>
        <v>1</v>
      </c>
      <c r="J89" s="21">
        <f>Source!P114</f>
        <v>38.28</v>
      </c>
      <c r="K89" s="21"/>
    </row>
    <row r="90" spans="1:22" ht="14.25" x14ac:dyDescent="0.2">
      <c r="A90" s="18"/>
      <c r="B90" s="18"/>
      <c r="C90" s="18" t="s">
        <v>733</v>
      </c>
      <c r="D90" s="19" t="s">
        <v>734</v>
      </c>
      <c r="E90" s="9">
        <f>Source!AT114</f>
        <v>70</v>
      </c>
      <c r="F90" s="21"/>
      <c r="G90" s="20"/>
      <c r="H90" s="9"/>
      <c r="I90" s="9"/>
      <c r="J90" s="21">
        <f>SUM(R87:R89)</f>
        <v>2090.27</v>
      </c>
      <c r="K90" s="21"/>
    </row>
    <row r="91" spans="1:22" ht="14.25" x14ac:dyDescent="0.2">
      <c r="A91" s="18"/>
      <c r="B91" s="18"/>
      <c r="C91" s="18" t="s">
        <v>735</v>
      </c>
      <c r="D91" s="19" t="s">
        <v>734</v>
      </c>
      <c r="E91" s="9">
        <f>Source!AU114</f>
        <v>10</v>
      </c>
      <c r="F91" s="21"/>
      <c r="G91" s="20"/>
      <c r="H91" s="9"/>
      <c r="I91" s="9"/>
      <c r="J91" s="21">
        <f>SUM(T87:T90)</f>
        <v>298.61</v>
      </c>
      <c r="K91" s="21"/>
    </row>
    <row r="92" spans="1:22" ht="14.25" x14ac:dyDescent="0.2">
      <c r="A92" s="18"/>
      <c r="B92" s="18"/>
      <c r="C92" s="18" t="s">
        <v>736</v>
      </c>
      <c r="D92" s="19" t="s">
        <v>737</v>
      </c>
      <c r="E92" s="9">
        <f>Source!AQ114</f>
        <v>1.8</v>
      </c>
      <c r="F92" s="21"/>
      <c r="G92" s="20" t="str">
        <f>Source!DI114</f>
        <v>)*2</v>
      </c>
      <c r="H92" s="9">
        <f>Source!AV114</f>
        <v>1</v>
      </c>
      <c r="I92" s="9"/>
      <c r="J92" s="21"/>
      <c r="K92" s="21">
        <f>Source!U114</f>
        <v>3.6</v>
      </c>
    </row>
    <row r="93" spans="1:22" ht="15" x14ac:dyDescent="0.25">
      <c r="A93" s="23"/>
      <c r="B93" s="23"/>
      <c r="C93" s="23"/>
      <c r="D93" s="23"/>
      <c r="E93" s="23"/>
      <c r="F93" s="23"/>
      <c r="G93" s="23"/>
      <c r="H93" s="23"/>
      <c r="I93" s="51">
        <f>J88+J89+J90+J91</f>
        <v>5413.2599999999993</v>
      </c>
      <c r="J93" s="51"/>
      <c r="K93" s="24">
        <f>IF(Source!I114&lt;&gt;0, ROUND(I93/Source!I114, 2), 0)</f>
        <v>5413.26</v>
      </c>
      <c r="P93" s="22">
        <f>I93</f>
        <v>5413.2599999999993</v>
      </c>
    </row>
    <row r="94" spans="1:22" ht="99.75" x14ac:dyDescent="0.2">
      <c r="A94" s="18">
        <v>7</v>
      </c>
      <c r="B94" s="18" t="str">
        <f>Source!F115</f>
        <v>1.23-2103-8-1/1</v>
      </c>
      <c r="C94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D94" s="19" t="str">
        <f>Source!H115</f>
        <v>шт.</v>
      </c>
      <c r="E94" s="9">
        <f>Source!I115</f>
        <v>2</v>
      </c>
      <c r="F94" s="21"/>
      <c r="G94" s="20"/>
      <c r="H94" s="9"/>
      <c r="I94" s="9"/>
      <c r="J94" s="21"/>
      <c r="K94" s="21"/>
      <c r="Q94">
        <f>ROUND((Source!BZ115/100)*ROUND((Source!AF115*Source!AV115)*Source!I115, 2), 2)</f>
        <v>2299.5300000000002</v>
      </c>
      <c r="R94">
        <f>Source!X115</f>
        <v>2299.5300000000002</v>
      </c>
      <c r="S94">
        <f>ROUND((Source!CA115/100)*ROUND((Source!AF115*Source!AV115)*Source!I115, 2), 2)</f>
        <v>328.5</v>
      </c>
      <c r="T94">
        <f>Source!Y115</f>
        <v>328.5</v>
      </c>
      <c r="U94">
        <f>ROUND((175/100)*ROUND((Source!AE115*Source!AV115)*Source!I115, 2), 2)</f>
        <v>0</v>
      </c>
      <c r="V94">
        <f>ROUND((108/100)*ROUND(Source!CS115*Source!I115, 2), 2)</f>
        <v>0</v>
      </c>
    </row>
    <row r="95" spans="1:22" ht="14.25" x14ac:dyDescent="0.2">
      <c r="A95" s="18"/>
      <c r="B95" s="18"/>
      <c r="C95" s="18" t="s">
        <v>731</v>
      </c>
      <c r="D95" s="19"/>
      <c r="E95" s="9"/>
      <c r="F95" s="21">
        <f>Source!AO115</f>
        <v>821.26</v>
      </c>
      <c r="G95" s="20" t="str">
        <f>Source!DG115</f>
        <v>)*2</v>
      </c>
      <c r="H95" s="9">
        <f>Source!AV115</f>
        <v>1</v>
      </c>
      <c r="I95" s="9">
        <f>IF(Source!BA115&lt;&gt; 0, Source!BA115, 1)</f>
        <v>1</v>
      </c>
      <c r="J95" s="21">
        <f>Source!S115</f>
        <v>3285.04</v>
      </c>
      <c r="K95" s="21"/>
    </row>
    <row r="96" spans="1:22" ht="14.25" x14ac:dyDescent="0.2">
      <c r="A96" s="18"/>
      <c r="B96" s="18"/>
      <c r="C96" s="18" t="s">
        <v>733</v>
      </c>
      <c r="D96" s="19" t="s">
        <v>734</v>
      </c>
      <c r="E96" s="9">
        <f>Source!AT115</f>
        <v>70</v>
      </c>
      <c r="F96" s="21"/>
      <c r="G96" s="20"/>
      <c r="H96" s="9"/>
      <c r="I96" s="9"/>
      <c r="J96" s="21">
        <f>SUM(R94:R95)</f>
        <v>2299.5300000000002</v>
      </c>
      <c r="K96" s="21"/>
    </row>
    <row r="97" spans="1:22" ht="14.25" x14ac:dyDescent="0.2">
      <c r="A97" s="18"/>
      <c r="B97" s="18"/>
      <c r="C97" s="18" t="s">
        <v>735</v>
      </c>
      <c r="D97" s="19" t="s">
        <v>734</v>
      </c>
      <c r="E97" s="9">
        <f>Source!AU115</f>
        <v>10</v>
      </c>
      <c r="F97" s="21"/>
      <c r="G97" s="20"/>
      <c r="H97" s="9"/>
      <c r="I97" s="9"/>
      <c r="J97" s="21">
        <f>SUM(T94:T96)</f>
        <v>328.5</v>
      </c>
      <c r="K97" s="21"/>
    </row>
    <row r="98" spans="1:22" ht="14.25" x14ac:dyDescent="0.2">
      <c r="A98" s="18"/>
      <c r="B98" s="18"/>
      <c r="C98" s="18" t="s">
        <v>736</v>
      </c>
      <c r="D98" s="19" t="s">
        <v>737</v>
      </c>
      <c r="E98" s="9">
        <f>Source!AQ115</f>
        <v>1.33</v>
      </c>
      <c r="F98" s="21"/>
      <c r="G98" s="20" t="str">
        <f>Source!DI115</f>
        <v>)*2</v>
      </c>
      <c r="H98" s="9">
        <f>Source!AV115</f>
        <v>1</v>
      </c>
      <c r="I98" s="9"/>
      <c r="J98" s="21"/>
      <c r="K98" s="21">
        <f>Source!U115</f>
        <v>5.32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51">
        <f>J95+J96+J97</f>
        <v>5913.07</v>
      </c>
      <c r="J99" s="51"/>
      <c r="K99" s="24">
        <f>IF(Source!I115&lt;&gt;0, ROUND(I99/Source!I115, 2), 0)</f>
        <v>2956.54</v>
      </c>
      <c r="P99" s="22">
        <f>I99</f>
        <v>5913.07</v>
      </c>
    </row>
    <row r="100" spans="1:22" ht="71.25" x14ac:dyDescent="0.2">
      <c r="A100" s="18">
        <v>8</v>
      </c>
      <c r="B100" s="18" t="str">
        <f>Source!F116</f>
        <v>1.23-2303-6-1/1</v>
      </c>
      <c r="C100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D100" s="19" t="str">
        <f>Source!H116</f>
        <v>шт.</v>
      </c>
      <c r="E100" s="9">
        <f>Source!I116</f>
        <v>2</v>
      </c>
      <c r="F100" s="21"/>
      <c r="G100" s="20"/>
      <c r="H100" s="9"/>
      <c r="I100" s="9"/>
      <c r="J100" s="21"/>
      <c r="K100" s="21"/>
      <c r="Q100">
        <f>ROUND((Source!BZ116/100)*ROUND((Source!AF116*Source!AV116)*Source!I116, 2), 2)</f>
        <v>933.91</v>
      </c>
      <c r="R100">
        <f>Source!X116</f>
        <v>933.91</v>
      </c>
      <c r="S100">
        <f>ROUND((Source!CA116/100)*ROUND((Source!AF116*Source!AV116)*Source!I116, 2), 2)</f>
        <v>133.41999999999999</v>
      </c>
      <c r="T100">
        <f>Source!Y116</f>
        <v>133.41999999999999</v>
      </c>
      <c r="U100">
        <f>ROUND((175/100)*ROUND((Source!AE116*Source!AV116)*Source!I116, 2), 2)</f>
        <v>0</v>
      </c>
      <c r="V100">
        <f>ROUND((108/100)*ROUND(Source!CS116*Source!I116, 2), 2)</f>
        <v>0</v>
      </c>
    </row>
    <row r="101" spans="1:22" ht="14.25" x14ac:dyDescent="0.2">
      <c r="A101" s="18"/>
      <c r="B101" s="18"/>
      <c r="C101" s="18" t="s">
        <v>731</v>
      </c>
      <c r="D101" s="19"/>
      <c r="E101" s="9"/>
      <c r="F101" s="21">
        <f>Source!AO116</f>
        <v>333.54</v>
      </c>
      <c r="G101" s="20" t="str">
        <f>Source!DG116</f>
        <v>)*2</v>
      </c>
      <c r="H101" s="9">
        <f>Source!AV116</f>
        <v>1</v>
      </c>
      <c r="I101" s="9">
        <f>IF(Source!BA116&lt;&gt; 0, Source!BA116, 1)</f>
        <v>1</v>
      </c>
      <c r="J101" s="21">
        <f>Source!S116</f>
        <v>1334.16</v>
      </c>
      <c r="K101" s="21"/>
    </row>
    <row r="102" spans="1:22" ht="14.25" x14ac:dyDescent="0.2">
      <c r="A102" s="18"/>
      <c r="B102" s="18"/>
      <c r="C102" s="18" t="s">
        <v>732</v>
      </c>
      <c r="D102" s="19"/>
      <c r="E102" s="9"/>
      <c r="F102" s="21">
        <f>Source!AL116</f>
        <v>20.239999999999998</v>
      </c>
      <c r="G102" s="20" t="str">
        <f>Source!DD116</f>
        <v>)*2</v>
      </c>
      <c r="H102" s="9">
        <f>Source!AW116</f>
        <v>1</v>
      </c>
      <c r="I102" s="9">
        <f>IF(Source!BC116&lt;&gt; 0, Source!BC116, 1)</f>
        <v>1</v>
      </c>
      <c r="J102" s="21">
        <f>Source!P116</f>
        <v>80.959999999999994</v>
      </c>
      <c r="K102" s="21"/>
    </row>
    <row r="103" spans="1:22" ht="14.25" x14ac:dyDescent="0.2">
      <c r="A103" s="18"/>
      <c r="B103" s="18"/>
      <c r="C103" s="18" t="s">
        <v>733</v>
      </c>
      <c r="D103" s="19" t="s">
        <v>734</v>
      </c>
      <c r="E103" s="9">
        <f>Source!AT116</f>
        <v>70</v>
      </c>
      <c r="F103" s="21"/>
      <c r="G103" s="20"/>
      <c r="H103" s="9"/>
      <c r="I103" s="9"/>
      <c r="J103" s="21">
        <f>SUM(R100:R102)</f>
        <v>933.91</v>
      </c>
      <c r="K103" s="21"/>
    </row>
    <row r="104" spans="1:22" ht="14.25" x14ac:dyDescent="0.2">
      <c r="A104" s="18"/>
      <c r="B104" s="18"/>
      <c r="C104" s="18" t="s">
        <v>735</v>
      </c>
      <c r="D104" s="19" t="s">
        <v>734</v>
      </c>
      <c r="E104" s="9">
        <f>Source!AU116</f>
        <v>10</v>
      </c>
      <c r="F104" s="21"/>
      <c r="G104" s="20"/>
      <c r="H104" s="9"/>
      <c r="I104" s="9"/>
      <c r="J104" s="21">
        <f>SUM(T100:T103)</f>
        <v>133.41999999999999</v>
      </c>
      <c r="K104" s="21"/>
    </row>
    <row r="105" spans="1:22" ht="14.25" x14ac:dyDescent="0.2">
      <c r="A105" s="18"/>
      <c r="B105" s="18"/>
      <c r="C105" s="18" t="s">
        <v>736</v>
      </c>
      <c r="D105" s="19" t="s">
        <v>737</v>
      </c>
      <c r="E105" s="9">
        <f>Source!AQ116</f>
        <v>0.47</v>
      </c>
      <c r="F105" s="21"/>
      <c r="G105" s="20" t="str">
        <f>Source!DI116</f>
        <v>)*2</v>
      </c>
      <c r="H105" s="9">
        <f>Source!AV116</f>
        <v>1</v>
      </c>
      <c r="I105" s="9"/>
      <c r="J105" s="21"/>
      <c r="K105" s="21">
        <f>Source!U116</f>
        <v>1.88</v>
      </c>
    </row>
    <row r="106" spans="1:22" ht="15" x14ac:dyDescent="0.25">
      <c r="A106" s="23"/>
      <c r="B106" s="23"/>
      <c r="C106" s="23"/>
      <c r="D106" s="23"/>
      <c r="E106" s="23"/>
      <c r="F106" s="23"/>
      <c r="G106" s="23"/>
      <c r="H106" s="23"/>
      <c r="I106" s="51">
        <f>J101+J102+J103+J104</f>
        <v>2482.4500000000003</v>
      </c>
      <c r="J106" s="51"/>
      <c r="K106" s="24">
        <f>IF(Source!I116&lt;&gt;0, ROUND(I106/Source!I116, 2), 0)</f>
        <v>1241.23</v>
      </c>
      <c r="P106" s="22">
        <f>I106</f>
        <v>2482.4500000000003</v>
      </c>
    </row>
    <row r="107" spans="1:22" ht="42.75" x14ac:dyDescent="0.2">
      <c r="A107" s="18">
        <v>9</v>
      </c>
      <c r="B107" s="18" t="str">
        <f>Source!F117</f>
        <v>1.23-2103-27-1/1</v>
      </c>
      <c r="C107" s="18" t="str">
        <f>Source!G117</f>
        <v>Техническое обслуживание преобразователя давления МТ100 и аналогов</v>
      </c>
      <c r="D107" s="19" t="str">
        <f>Source!H117</f>
        <v>10 шт.</v>
      </c>
      <c r="E107" s="9">
        <f>Source!I117</f>
        <v>0.2</v>
      </c>
      <c r="F107" s="21"/>
      <c r="G107" s="20"/>
      <c r="H107" s="9"/>
      <c r="I107" s="9"/>
      <c r="J107" s="21"/>
      <c r="K107" s="21"/>
      <c r="Q107">
        <f>ROUND((Source!BZ117/100)*ROUND((Source!AF117*Source!AV117)*Source!I117, 2), 2)</f>
        <v>2483.81</v>
      </c>
      <c r="R107">
        <f>Source!X117</f>
        <v>2483.81</v>
      </c>
      <c r="S107">
        <f>ROUND((Source!CA117/100)*ROUND((Source!AF117*Source!AV117)*Source!I117, 2), 2)</f>
        <v>354.83</v>
      </c>
      <c r="T107">
        <f>Source!Y117</f>
        <v>354.83</v>
      </c>
      <c r="U107">
        <f>ROUND((175/100)*ROUND((Source!AE117*Source!AV117)*Source!I117, 2), 2)</f>
        <v>0</v>
      </c>
      <c r="V107">
        <f>ROUND((108/100)*ROUND(Source!CS117*Source!I117, 2), 2)</f>
        <v>0</v>
      </c>
    </row>
    <row r="108" spans="1:22" x14ac:dyDescent="0.2">
      <c r="C108" s="25" t="str">
        <f>"Объем: "&amp;Source!I117&amp;"=2/"&amp;"10"</f>
        <v>Объем: 0,2=2/10</v>
      </c>
    </row>
    <row r="109" spans="1:22" ht="14.25" x14ac:dyDescent="0.2">
      <c r="A109" s="18"/>
      <c r="B109" s="18"/>
      <c r="C109" s="18" t="s">
        <v>731</v>
      </c>
      <c r="D109" s="19"/>
      <c r="E109" s="9"/>
      <c r="F109" s="21">
        <f>Source!AO117</f>
        <v>8870.75</v>
      </c>
      <c r="G109" s="20" t="str">
        <f>Source!DG117</f>
        <v>)*2</v>
      </c>
      <c r="H109" s="9">
        <f>Source!AV117</f>
        <v>1</v>
      </c>
      <c r="I109" s="9">
        <f>IF(Source!BA117&lt;&gt; 0, Source!BA117, 1)</f>
        <v>1</v>
      </c>
      <c r="J109" s="21">
        <f>Source!S117</f>
        <v>3548.3</v>
      </c>
      <c r="K109" s="21"/>
    </row>
    <row r="110" spans="1:22" ht="14.25" x14ac:dyDescent="0.2">
      <c r="A110" s="18"/>
      <c r="B110" s="18"/>
      <c r="C110" s="18" t="s">
        <v>732</v>
      </c>
      <c r="D110" s="19"/>
      <c r="E110" s="9"/>
      <c r="F110" s="21">
        <f>Source!AL117</f>
        <v>17.39</v>
      </c>
      <c r="G110" s="20" t="str">
        <f>Source!DD117</f>
        <v>)*2</v>
      </c>
      <c r="H110" s="9">
        <f>Source!AW117</f>
        <v>1</v>
      </c>
      <c r="I110" s="9">
        <f>IF(Source!BC117&lt;&gt; 0, Source!BC117, 1)</f>
        <v>1</v>
      </c>
      <c r="J110" s="21">
        <f>Source!P117</f>
        <v>6.96</v>
      </c>
      <c r="K110" s="21"/>
    </row>
    <row r="111" spans="1:22" ht="14.25" x14ac:dyDescent="0.2">
      <c r="A111" s="18"/>
      <c r="B111" s="18"/>
      <c r="C111" s="18" t="s">
        <v>733</v>
      </c>
      <c r="D111" s="19" t="s">
        <v>734</v>
      </c>
      <c r="E111" s="9">
        <f>Source!AT117</f>
        <v>70</v>
      </c>
      <c r="F111" s="21"/>
      <c r="G111" s="20"/>
      <c r="H111" s="9"/>
      <c r="I111" s="9"/>
      <c r="J111" s="21">
        <f>SUM(R107:R110)</f>
        <v>2483.81</v>
      </c>
      <c r="K111" s="21"/>
    </row>
    <row r="112" spans="1:22" ht="14.25" x14ac:dyDescent="0.2">
      <c r="A112" s="18"/>
      <c r="B112" s="18"/>
      <c r="C112" s="18" t="s">
        <v>735</v>
      </c>
      <c r="D112" s="19" t="s">
        <v>734</v>
      </c>
      <c r="E112" s="9">
        <f>Source!AU117</f>
        <v>10</v>
      </c>
      <c r="F112" s="21"/>
      <c r="G112" s="20"/>
      <c r="H112" s="9"/>
      <c r="I112" s="9"/>
      <c r="J112" s="21">
        <f>SUM(T107:T111)</f>
        <v>354.83</v>
      </c>
      <c r="K112" s="21"/>
    </row>
    <row r="113" spans="1:22" ht="14.25" x14ac:dyDescent="0.2">
      <c r="A113" s="18"/>
      <c r="B113" s="18"/>
      <c r="C113" s="18" t="s">
        <v>736</v>
      </c>
      <c r="D113" s="19" t="s">
        <v>737</v>
      </c>
      <c r="E113" s="9">
        <f>Source!AQ117</f>
        <v>12.5</v>
      </c>
      <c r="F113" s="21"/>
      <c r="G113" s="20" t="str">
        <f>Source!DI117</f>
        <v>)*2</v>
      </c>
      <c r="H113" s="9">
        <f>Source!AV117</f>
        <v>1</v>
      </c>
      <c r="I113" s="9"/>
      <c r="J113" s="21"/>
      <c r="K113" s="21">
        <f>Source!U117</f>
        <v>5</v>
      </c>
    </row>
    <row r="114" spans="1:22" ht="15" x14ac:dyDescent="0.25">
      <c r="A114" s="23"/>
      <c r="B114" s="23"/>
      <c r="C114" s="23"/>
      <c r="D114" s="23"/>
      <c r="E114" s="23"/>
      <c r="F114" s="23"/>
      <c r="G114" s="23"/>
      <c r="H114" s="23"/>
      <c r="I114" s="51">
        <f>J109+J110+J111+J112</f>
        <v>6393.9</v>
      </c>
      <c r="J114" s="51"/>
      <c r="K114" s="24">
        <f>IF(Source!I117&lt;&gt;0, ROUND(I114/Source!I117, 2), 0)</f>
        <v>31969.5</v>
      </c>
      <c r="P114" s="22">
        <f>I114</f>
        <v>6393.9</v>
      </c>
    </row>
    <row r="116" spans="1:22" ht="15" customHeight="1" x14ac:dyDescent="0.25">
      <c r="B116" s="52" t="str">
        <f>Source!G118</f>
        <v>Индивидуальный тепловой пункт. Тепломеханические решения.</v>
      </c>
      <c r="C116" s="52"/>
      <c r="D116" s="52"/>
      <c r="E116" s="52"/>
      <c r="F116" s="52"/>
      <c r="G116" s="52"/>
      <c r="H116" s="52"/>
      <c r="I116" s="52"/>
      <c r="J116" s="52"/>
    </row>
    <row r="117" spans="1:22" ht="42.75" x14ac:dyDescent="0.2">
      <c r="A117" s="18">
        <v>10</v>
      </c>
      <c r="B117" s="18" t="str">
        <f>Source!F119</f>
        <v>1.15-2203-7-3/1</v>
      </c>
      <c r="C117" s="18" t="str">
        <f>Source!G119</f>
        <v>Техническое обслуживание крана шарового латунного никелированного диаметром до 100 мм</v>
      </c>
      <c r="D117" s="19" t="str">
        <f>Source!H119</f>
        <v>10 шт.</v>
      </c>
      <c r="E117" s="9">
        <f>Source!I119</f>
        <v>0.2</v>
      </c>
      <c r="F117" s="21"/>
      <c r="G117" s="20"/>
      <c r="H117" s="9"/>
      <c r="I117" s="9"/>
      <c r="J117" s="21"/>
      <c r="K117" s="21"/>
      <c r="Q117">
        <f>ROUND((Source!BZ119/100)*ROUND((Source!AF119*Source!AV119)*Source!I119, 2), 2)</f>
        <v>79.53</v>
      </c>
      <c r="R117">
        <f>Source!X119</f>
        <v>79.53</v>
      </c>
      <c r="S117">
        <f>ROUND((Source!CA119/100)*ROUND((Source!AF119*Source!AV119)*Source!I119, 2), 2)</f>
        <v>11.36</v>
      </c>
      <c r="T117">
        <f>Source!Y119</f>
        <v>11.36</v>
      </c>
      <c r="U117">
        <f>ROUND((175/100)*ROUND((Source!AE119*Source!AV119)*Source!I119, 2), 2)</f>
        <v>0</v>
      </c>
      <c r="V117">
        <f>ROUND((108/100)*ROUND(Source!CS119*Source!I119, 2), 2)</f>
        <v>0</v>
      </c>
    </row>
    <row r="118" spans="1:22" x14ac:dyDescent="0.2">
      <c r="C118" s="25" t="str">
        <f>"Объем: "&amp;Source!I119&amp;"=2/"&amp;"10"</f>
        <v>Объем: 0,2=2/10</v>
      </c>
    </row>
    <row r="119" spans="1:22" ht="14.25" x14ac:dyDescent="0.2">
      <c r="A119" s="18"/>
      <c r="B119" s="18"/>
      <c r="C119" s="18" t="s">
        <v>731</v>
      </c>
      <c r="D119" s="19"/>
      <c r="E119" s="9"/>
      <c r="F119" s="21">
        <f>Source!AO119</f>
        <v>568.09</v>
      </c>
      <c r="G119" s="20" t="str">
        <f>Source!DG119</f>
        <v/>
      </c>
      <c r="H119" s="9">
        <f>Source!AV119</f>
        <v>1</v>
      </c>
      <c r="I119" s="9">
        <f>IF(Source!BA119&lt;&gt; 0, Source!BA119, 1)</f>
        <v>1</v>
      </c>
      <c r="J119" s="21">
        <f>Source!S119</f>
        <v>113.62</v>
      </c>
      <c r="K119" s="21"/>
    </row>
    <row r="120" spans="1:22" ht="14.25" x14ac:dyDescent="0.2">
      <c r="A120" s="18"/>
      <c r="B120" s="18"/>
      <c r="C120" s="18" t="s">
        <v>733</v>
      </c>
      <c r="D120" s="19" t="s">
        <v>734</v>
      </c>
      <c r="E120" s="9">
        <f>Source!AT119</f>
        <v>70</v>
      </c>
      <c r="F120" s="21"/>
      <c r="G120" s="20"/>
      <c r="H120" s="9"/>
      <c r="I120" s="9"/>
      <c r="J120" s="21">
        <f>SUM(R117:R119)</f>
        <v>79.53</v>
      </c>
      <c r="K120" s="21"/>
    </row>
    <row r="121" spans="1:22" ht="14.25" x14ac:dyDescent="0.2">
      <c r="A121" s="18"/>
      <c r="B121" s="18"/>
      <c r="C121" s="18" t="s">
        <v>735</v>
      </c>
      <c r="D121" s="19" t="s">
        <v>734</v>
      </c>
      <c r="E121" s="9">
        <f>Source!AU119</f>
        <v>10</v>
      </c>
      <c r="F121" s="21"/>
      <c r="G121" s="20"/>
      <c r="H121" s="9"/>
      <c r="I121" s="9"/>
      <c r="J121" s="21">
        <f>SUM(T117:T120)</f>
        <v>11.36</v>
      </c>
      <c r="K121" s="21"/>
    </row>
    <row r="122" spans="1:22" ht="14.25" x14ac:dyDescent="0.2">
      <c r="A122" s="18"/>
      <c r="B122" s="18"/>
      <c r="C122" s="18" t="s">
        <v>736</v>
      </c>
      <c r="D122" s="19" t="s">
        <v>737</v>
      </c>
      <c r="E122" s="9">
        <f>Source!AQ119</f>
        <v>0.92</v>
      </c>
      <c r="F122" s="21"/>
      <c r="G122" s="20" t="str">
        <f>Source!DI119</f>
        <v/>
      </c>
      <c r="H122" s="9">
        <f>Source!AV119</f>
        <v>1</v>
      </c>
      <c r="I122" s="9"/>
      <c r="J122" s="21"/>
      <c r="K122" s="21">
        <f>Source!U119</f>
        <v>0.18400000000000002</v>
      </c>
    </row>
    <row r="123" spans="1:22" ht="15" x14ac:dyDescent="0.25">
      <c r="A123" s="23"/>
      <c r="B123" s="23"/>
      <c r="C123" s="23"/>
      <c r="D123" s="23"/>
      <c r="E123" s="23"/>
      <c r="F123" s="23"/>
      <c r="G123" s="23"/>
      <c r="H123" s="23"/>
      <c r="I123" s="51">
        <f>J119+J120+J121</f>
        <v>204.51</v>
      </c>
      <c r="J123" s="51"/>
      <c r="K123" s="24">
        <f>IF(Source!I119&lt;&gt;0, ROUND(I123/Source!I119, 2), 0)</f>
        <v>1022.55</v>
      </c>
      <c r="P123" s="22">
        <f>I123</f>
        <v>204.51</v>
      </c>
    </row>
    <row r="124" spans="1:22" ht="42.75" x14ac:dyDescent="0.2">
      <c r="A124" s="18">
        <v>11</v>
      </c>
      <c r="B124" s="18" t="str">
        <f>Source!F120</f>
        <v>1.23-2103-18-1/1</v>
      </c>
      <c r="C124" s="18" t="str">
        <f>Source!G120</f>
        <v>Техническое обслуживание термометра биметаллического, дилатометрического</v>
      </c>
      <c r="D124" s="19" t="str">
        <f>Source!H120</f>
        <v>шт.</v>
      </c>
      <c r="E124" s="9">
        <f>Source!I120</f>
        <v>2</v>
      </c>
      <c r="F124" s="21"/>
      <c r="G124" s="20"/>
      <c r="H124" s="9"/>
      <c r="I124" s="9"/>
      <c r="J124" s="21"/>
      <c r="K124" s="21"/>
      <c r="Q124">
        <f>ROUND((Source!BZ120/100)*ROUND((Source!AF120*Source!AV120)*Source!I120, 2), 2)</f>
        <v>615.97</v>
      </c>
      <c r="R124">
        <f>Source!X120</f>
        <v>615.97</v>
      </c>
      <c r="S124">
        <f>ROUND((Source!CA120/100)*ROUND((Source!AF120*Source!AV120)*Source!I120, 2), 2)</f>
        <v>88</v>
      </c>
      <c r="T124">
        <f>Source!Y120</f>
        <v>88</v>
      </c>
      <c r="U124">
        <f>ROUND((175/100)*ROUND((Source!AE120*Source!AV120)*Source!I120, 2), 2)</f>
        <v>0</v>
      </c>
      <c r="V124">
        <f>ROUND((108/100)*ROUND(Source!CS120*Source!I120, 2), 2)</f>
        <v>0</v>
      </c>
    </row>
    <row r="125" spans="1:22" ht="14.25" x14ac:dyDescent="0.2">
      <c r="A125" s="18"/>
      <c r="B125" s="18"/>
      <c r="C125" s="18" t="s">
        <v>731</v>
      </c>
      <c r="D125" s="19"/>
      <c r="E125" s="9"/>
      <c r="F125" s="21">
        <f>Source!AO120</f>
        <v>219.99</v>
      </c>
      <c r="G125" s="20" t="str">
        <f>Source!DG120</f>
        <v>)*2</v>
      </c>
      <c r="H125" s="9">
        <f>Source!AV120</f>
        <v>1</v>
      </c>
      <c r="I125" s="9">
        <f>IF(Source!BA120&lt;&gt; 0, Source!BA120, 1)</f>
        <v>1</v>
      </c>
      <c r="J125" s="21">
        <f>Source!S120</f>
        <v>879.96</v>
      </c>
      <c r="K125" s="21"/>
    </row>
    <row r="126" spans="1:22" ht="14.25" x14ac:dyDescent="0.2">
      <c r="A126" s="18"/>
      <c r="B126" s="18"/>
      <c r="C126" s="18" t="s">
        <v>732</v>
      </c>
      <c r="D126" s="19"/>
      <c r="E126" s="9"/>
      <c r="F126" s="21">
        <f>Source!AL120</f>
        <v>19.14</v>
      </c>
      <c r="G126" s="20" t="str">
        <f>Source!DD120</f>
        <v>)*2</v>
      </c>
      <c r="H126" s="9">
        <f>Source!AW120</f>
        <v>1</v>
      </c>
      <c r="I126" s="9">
        <f>IF(Source!BC120&lt;&gt; 0, Source!BC120, 1)</f>
        <v>1</v>
      </c>
      <c r="J126" s="21">
        <f>Source!P120</f>
        <v>76.56</v>
      </c>
      <c r="K126" s="21"/>
    </row>
    <row r="127" spans="1:22" ht="14.25" x14ac:dyDescent="0.2">
      <c r="A127" s="18"/>
      <c r="B127" s="18"/>
      <c r="C127" s="18" t="s">
        <v>733</v>
      </c>
      <c r="D127" s="19" t="s">
        <v>734</v>
      </c>
      <c r="E127" s="9">
        <f>Source!AT120</f>
        <v>70</v>
      </c>
      <c r="F127" s="21"/>
      <c r="G127" s="20"/>
      <c r="H127" s="9"/>
      <c r="I127" s="9"/>
      <c r="J127" s="21">
        <f>SUM(R124:R126)</f>
        <v>615.97</v>
      </c>
      <c r="K127" s="21"/>
    </row>
    <row r="128" spans="1:22" ht="14.25" x14ac:dyDescent="0.2">
      <c r="A128" s="18"/>
      <c r="B128" s="18"/>
      <c r="C128" s="18" t="s">
        <v>735</v>
      </c>
      <c r="D128" s="19" t="s">
        <v>734</v>
      </c>
      <c r="E128" s="9">
        <f>Source!AU120</f>
        <v>10</v>
      </c>
      <c r="F128" s="21"/>
      <c r="G128" s="20"/>
      <c r="H128" s="9"/>
      <c r="I128" s="9"/>
      <c r="J128" s="21">
        <f>SUM(T124:T127)</f>
        <v>88</v>
      </c>
      <c r="K128" s="21"/>
    </row>
    <row r="129" spans="1:22" ht="14.25" x14ac:dyDescent="0.2">
      <c r="A129" s="18"/>
      <c r="B129" s="18"/>
      <c r="C129" s="18" t="s">
        <v>736</v>
      </c>
      <c r="D129" s="19" t="s">
        <v>737</v>
      </c>
      <c r="E129" s="9">
        <f>Source!AQ120</f>
        <v>0.31</v>
      </c>
      <c r="F129" s="21"/>
      <c r="G129" s="20" t="str">
        <f>Source!DI120</f>
        <v>)*2</v>
      </c>
      <c r="H129" s="9">
        <f>Source!AV120</f>
        <v>1</v>
      </c>
      <c r="I129" s="9"/>
      <c r="J129" s="21"/>
      <c r="K129" s="21">
        <f>Source!U120</f>
        <v>1.24</v>
      </c>
    </row>
    <row r="130" spans="1:22" ht="15" x14ac:dyDescent="0.25">
      <c r="A130" s="23"/>
      <c r="B130" s="23"/>
      <c r="C130" s="23"/>
      <c r="D130" s="23"/>
      <c r="E130" s="23"/>
      <c r="F130" s="23"/>
      <c r="G130" s="23"/>
      <c r="H130" s="23"/>
      <c r="I130" s="51">
        <f>J125+J126+J127+J128</f>
        <v>1660.49</v>
      </c>
      <c r="J130" s="51"/>
      <c r="K130" s="24">
        <f>IF(Source!I120&lt;&gt;0, ROUND(I130/Source!I120, 2), 0)</f>
        <v>830.25</v>
      </c>
      <c r="P130" s="22">
        <f>I130</f>
        <v>1660.49</v>
      </c>
    </row>
    <row r="131" spans="1:22" ht="28.5" x14ac:dyDescent="0.2">
      <c r="A131" s="18">
        <v>12</v>
      </c>
      <c r="B131" s="18" t="str">
        <f>Source!F124</f>
        <v>1.17-2103-17-1/1</v>
      </c>
      <c r="C131" s="18" t="str">
        <f>Source!G124</f>
        <v>Техническое обслуживание автоматического воздухоотводчика</v>
      </c>
      <c r="D131" s="19" t="str">
        <f>Source!H124</f>
        <v>10 шт.</v>
      </c>
      <c r="E131" s="9">
        <f>Source!I124</f>
        <v>0.1</v>
      </c>
      <c r="F131" s="21"/>
      <c r="G131" s="20"/>
      <c r="H131" s="9"/>
      <c r="I131" s="9"/>
      <c r="J131" s="21"/>
      <c r="K131" s="21"/>
      <c r="Q131">
        <f>ROUND((Source!BZ124/100)*ROUND((Source!AF124*Source!AV124)*Source!I124, 2), 2)</f>
        <v>65.7</v>
      </c>
      <c r="R131">
        <f>Source!X124</f>
        <v>65.7</v>
      </c>
      <c r="S131">
        <f>ROUND((Source!CA124/100)*ROUND((Source!AF124*Source!AV124)*Source!I124, 2), 2)</f>
        <v>9.39</v>
      </c>
      <c r="T131">
        <f>Source!Y124</f>
        <v>9.39</v>
      </c>
      <c r="U131">
        <f>ROUND((175/100)*ROUND((Source!AE124*Source!AV124)*Source!I124, 2), 2)</f>
        <v>0</v>
      </c>
      <c r="V131">
        <f>ROUND((108/100)*ROUND(Source!CS124*Source!I124, 2), 2)</f>
        <v>0</v>
      </c>
    </row>
    <row r="132" spans="1:22" x14ac:dyDescent="0.2">
      <c r="C132" s="25" t="str">
        <f>"Объем: "&amp;Source!I124&amp;"=1/"&amp;"10"</f>
        <v>Объем: 0,1=1/10</v>
      </c>
    </row>
    <row r="133" spans="1:22" ht="14.25" x14ac:dyDescent="0.2">
      <c r="A133" s="18"/>
      <c r="B133" s="18"/>
      <c r="C133" s="18" t="s">
        <v>731</v>
      </c>
      <c r="D133" s="19"/>
      <c r="E133" s="9"/>
      <c r="F133" s="21">
        <f>Source!AO124</f>
        <v>938.58</v>
      </c>
      <c r="G133" s="20" t="str">
        <f>Source!DG124</f>
        <v/>
      </c>
      <c r="H133" s="9">
        <f>Source!AV124</f>
        <v>1</v>
      </c>
      <c r="I133" s="9">
        <f>IF(Source!BA124&lt;&gt; 0, Source!BA124, 1)</f>
        <v>1</v>
      </c>
      <c r="J133" s="21">
        <f>Source!S124</f>
        <v>93.86</v>
      </c>
      <c r="K133" s="21"/>
    </row>
    <row r="134" spans="1:22" ht="14.25" x14ac:dyDescent="0.2">
      <c r="A134" s="18"/>
      <c r="B134" s="18"/>
      <c r="C134" s="18" t="s">
        <v>732</v>
      </c>
      <c r="D134" s="19"/>
      <c r="E134" s="9"/>
      <c r="F134" s="21">
        <f>Source!AL124</f>
        <v>0.63</v>
      </c>
      <c r="G134" s="20" t="str">
        <f>Source!DD124</f>
        <v/>
      </c>
      <c r="H134" s="9">
        <f>Source!AW124</f>
        <v>1</v>
      </c>
      <c r="I134" s="9">
        <f>IF(Source!BC124&lt;&gt; 0, Source!BC124, 1)</f>
        <v>1</v>
      </c>
      <c r="J134" s="21">
        <f>Source!P124</f>
        <v>0.06</v>
      </c>
      <c r="K134" s="21"/>
    </row>
    <row r="135" spans="1:22" ht="14.25" x14ac:dyDescent="0.2">
      <c r="A135" s="18"/>
      <c r="B135" s="18"/>
      <c r="C135" s="18" t="s">
        <v>733</v>
      </c>
      <c r="D135" s="19" t="s">
        <v>734</v>
      </c>
      <c r="E135" s="9">
        <f>Source!AT124</f>
        <v>70</v>
      </c>
      <c r="F135" s="21"/>
      <c r="G135" s="20"/>
      <c r="H135" s="9"/>
      <c r="I135" s="9"/>
      <c r="J135" s="21">
        <f>SUM(R131:R134)</f>
        <v>65.7</v>
      </c>
      <c r="K135" s="21"/>
    </row>
    <row r="136" spans="1:22" ht="14.25" x14ac:dyDescent="0.2">
      <c r="A136" s="18"/>
      <c r="B136" s="18"/>
      <c r="C136" s="18" t="s">
        <v>735</v>
      </c>
      <c r="D136" s="19" t="s">
        <v>734</v>
      </c>
      <c r="E136" s="9">
        <f>Source!AU124</f>
        <v>10</v>
      </c>
      <c r="F136" s="21"/>
      <c r="G136" s="20"/>
      <c r="H136" s="9"/>
      <c r="I136" s="9"/>
      <c r="J136" s="21">
        <f>SUM(T131:T135)</f>
        <v>9.39</v>
      </c>
      <c r="K136" s="21"/>
    </row>
    <row r="137" spans="1:22" ht="14.25" x14ac:dyDescent="0.2">
      <c r="A137" s="18"/>
      <c r="B137" s="18"/>
      <c r="C137" s="18" t="s">
        <v>736</v>
      </c>
      <c r="D137" s="19" t="s">
        <v>737</v>
      </c>
      <c r="E137" s="9">
        <f>Source!AQ124</f>
        <v>1.52</v>
      </c>
      <c r="F137" s="21"/>
      <c r="G137" s="20" t="str">
        <f>Source!DI124</f>
        <v/>
      </c>
      <c r="H137" s="9">
        <f>Source!AV124</f>
        <v>1</v>
      </c>
      <c r="I137" s="9"/>
      <c r="J137" s="21"/>
      <c r="K137" s="21">
        <f>Source!U124</f>
        <v>0.15200000000000002</v>
      </c>
    </row>
    <row r="138" spans="1:22" ht="15" x14ac:dyDescent="0.25">
      <c r="A138" s="23"/>
      <c r="B138" s="23"/>
      <c r="C138" s="23"/>
      <c r="D138" s="23"/>
      <c r="E138" s="23"/>
      <c r="F138" s="23"/>
      <c r="G138" s="23"/>
      <c r="H138" s="23"/>
      <c r="I138" s="51">
        <f>J133+J134+J135+J136</f>
        <v>169.01</v>
      </c>
      <c r="J138" s="51"/>
      <c r="K138" s="24">
        <f>IF(Source!I124&lt;&gt;0, ROUND(I138/Source!I124, 2), 0)</f>
        <v>1690.1</v>
      </c>
      <c r="P138" s="22">
        <f>I138</f>
        <v>169.01</v>
      </c>
    </row>
    <row r="139" spans="1:22" ht="42.75" x14ac:dyDescent="0.2">
      <c r="A139" s="18">
        <v>13</v>
      </c>
      <c r="B139" s="18" t="str">
        <f>Source!F126</f>
        <v>1.15-2203-7-1/1</v>
      </c>
      <c r="C139" s="18" t="str">
        <f>Source!G126</f>
        <v>Техническое обслуживание крана шарового латунного никелированного диаметром до 25 мм</v>
      </c>
      <c r="D139" s="19" t="str">
        <f>Source!H126</f>
        <v>10 шт.</v>
      </c>
      <c r="E139" s="9">
        <f>Source!I126</f>
        <v>0.4</v>
      </c>
      <c r="F139" s="21"/>
      <c r="G139" s="20"/>
      <c r="H139" s="9"/>
      <c r="I139" s="9"/>
      <c r="J139" s="21"/>
      <c r="K139" s="21"/>
      <c r="Q139">
        <f>ROUND((Source!BZ126/100)*ROUND((Source!AF126*Source!AV126)*Source!I126, 2), 2)</f>
        <v>77.81</v>
      </c>
      <c r="R139">
        <f>Source!X126</f>
        <v>77.81</v>
      </c>
      <c r="S139">
        <f>ROUND((Source!CA126/100)*ROUND((Source!AF126*Source!AV126)*Source!I126, 2), 2)</f>
        <v>11.12</v>
      </c>
      <c r="T139">
        <f>Source!Y126</f>
        <v>11.12</v>
      </c>
      <c r="U139">
        <f>ROUND((175/100)*ROUND((Source!AE126*Source!AV126)*Source!I126, 2), 2)</f>
        <v>0</v>
      </c>
      <c r="V139">
        <f>ROUND((108/100)*ROUND(Source!CS126*Source!I126, 2), 2)</f>
        <v>0</v>
      </c>
    </row>
    <row r="140" spans="1:22" x14ac:dyDescent="0.2">
      <c r="C140" s="25" t="str">
        <f>"Объем: "&amp;Source!I126&amp;"=(2+"&amp;"2)/"&amp;"10"</f>
        <v>Объем: 0,4=(2+2)/10</v>
      </c>
    </row>
    <row r="141" spans="1:22" ht="14.25" x14ac:dyDescent="0.2">
      <c r="A141" s="18"/>
      <c r="B141" s="18"/>
      <c r="C141" s="18" t="s">
        <v>731</v>
      </c>
      <c r="D141" s="19"/>
      <c r="E141" s="9"/>
      <c r="F141" s="21">
        <f>Source!AO126</f>
        <v>277.87</v>
      </c>
      <c r="G141" s="20" t="str">
        <f>Source!DG126</f>
        <v/>
      </c>
      <c r="H141" s="9">
        <f>Source!AV126</f>
        <v>1</v>
      </c>
      <c r="I141" s="9">
        <f>IF(Source!BA126&lt;&gt; 0, Source!BA126, 1)</f>
        <v>1</v>
      </c>
      <c r="J141" s="21">
        <f>Source!S126</f>
        <v>111.15</v>
      </c>
      <c r="K141" s="21"/>
    </row>
    <row r="142" spans="1:22" ht="14.25" x14ac:dyDescent="0.2">
      <c r="A142" s="18"/>
      <c r="B142" s="18"/>
      <c r="C142" s="18" t="s">
        <v>733</v>
      </c>
      <c r="D142" s="19" t="s">
        <v>734</v>
      </c>
      <c r="E142" s="9">
        <f>Source!AT126</f>
        <v>70</v>
      </c>
      <c r="F142" s="21"/>
      <c r="G142" s="20"/>
      <c r="H142" s="9"/>
      <c r="I142" s="9"/>
      <c r="J142" s="21">
        <f>SUM(R139:R141)</f>
        <v>77.81</v>
      </c>
      <c r="K142" s="21"/>
    </row>
    <row r="143" spans="1:22" ht="14.25" x14ac:dyDescent="0.2">
      <c r="A143" s="18"/>
      <c r="B143" s="18"/>
      <c r="C143" s="18" t="s">
        <v>735</v>
      </c>
      <c r="D143" s="19" t="s">
        <v>734</v>
      </c>
      <c r="E143" s="9">
        <f>Source!AU126</f>
        <v>10</v>
      </c>
      <c r="F143" s="21"/>
      <c r="G143" s="20"/>
      <c r="H143" s="9"/>
      <c r="I143" s="9"/>
      <c r="J143" s="21">
        <f>SUM(T139:T142)</f>
        <v>11.12</v>
      </c>
      <c r="K143" s="21"/>
    </row>
    <row r="144" spans="1:22" ht="14.25" x14ac:dyDescent="0.2">
      <c r="A144" s="18"/>
      <c r="B144" s="18"/>
      <c r="C144" s="18" t="s">
        <v>736</v>
      </c>
      <c r="D144" s="19" t="s">
        <v>737</v>
      </c>
      <c r="E144" s="9">
        <f>Source!AQ126</f>
        <v>0.45</v>
      </c>
      <c r="F144" s="21"/>
      <c r="G144" s="20" t="str">
        <f>Source!DI126</f>
        <v/>
      </c>
      <c r="H144" s="9">
        <f>Source!AV126</f>
        <v>1</v>
      </c>
      <c r="I144" s="9"/>
      <c r="J144" s="21"/>
      <c r="K144" s="21">
        <f>Source!U126</f>
        <v>0.18000000000000002</v>
      </c>
    </row>
    <row r="145" spans="1:22" ht="15" x14ac:dyDescent="0.25">
      <c r="A145" s="23"/>
      <c r="B145" s="23"/>
      <c r="C145" s="23"/>
      <c r="D145" s="23"/>
      <c r="E145" s="23"/>
      <c r="F145" s="23"/>
      <c r="G145" s="23"/>
      <c r="H145" s="23"/>
      <c r="I145" s="51">
        <f>J141+J142+J143</f>
        <v>200.08</v>
      </c>
      <c r="J145" s="51"/>
      <c r="K145" s="24">
        <f>IF(Source!I126&lt;&gt;0, ROUND(I145/Source!I126, 2), 0)</f>
        <v>500.2</v>
      </c>
      <c r="P145" s="22">
        <f>I145</f>
        <v>200.08</v>
      </c>
    </row>
    <row r="146" spans="1:22" ht="42.75" x14ac:dyDescent="0.2">
      <c r="A146" s="18">
        <v>14</v>
      </c>
      <c r="B146" s="18" t="str">
        <f>Source!F127</f>
        <v>1.15-2303-5-3/1</v>
      </c>
      <c r="C146" s="18" t="str">
        <f>Source!G127</f>
        <v>Техническое обслуживание фильтров водяных фланцевых сетчатых диаметром до 150 мм</v>
      </c>
      <c r="D146" s="19" t="str">
        <f>Source!H127</f>
        <v>10 шт.</v>
      </c>
      <c r="E146" s="9">
        <f>Source!I127</f>
        <v>0.1</v>
      </c>
      <c r="F146" s="21"/>
      <c r="G146" s="20"/>
      <c r="H146" s="9"/>
      <c r="I146" s="9"/>
      <c r="J146" s="21"/>
      <c r="K146" s="21"/>
      <c r="Q146">
        <f>ROUND((Source!BZ127/100)*ROUND((Source!AF127*Source!AV127)*Source!I127, 2), 2)</f>
        <v>221.94</v>
      </c>
      <c r="R146">
        <f>Source!X127</f>
        <v>221.94</v>
      </c>
      <c r="S146">
        <f>ROUND((Source!CA127/100)*ROUND((Source!AF127*Source!AV127)*Source!I127, 2), 2)</f>
        <v>31.71</v>
      </c>
      <c r="T146">
        <f>Source!Y127</f>
        <v>31.71</v>
      </c>
      <c r="U146">
        <f>ROUND((175/100)*ROUND((Source!AE127*Source!AV127)*Source!I127, 2), 2)</f>
        <v>0</v>
      </c>
      <c r="V146">
        <f>ROUND((108/100)*ROUND(Source!CS127*Source!I127, 2), 2)</f>
        <v>0</v>
      </c>
    </row>
    <row r="147" spans="1:22" x14ac:dyDescent="0.2">
      <c r="C147" s="25" t="str">
        <f>"Объем: "&amp;Source!I127&amp;"=1/"&amp;"10"</f>
        <v>Объем: 0,1=1/10</v>
      </c>
    </row>
    <row r="148" spans="1:22" ht="14.25" x14ac:dyDescent="0.2">
      <c r="A148" s="18"/>
      <c r="B148" s="18"/>
      <c r="C148" s="18" t="s">
        <v>731</v>
      </c>
      <c r="D148" s="19"/>
      <c r="E148" s="9"/>
      <c r="F148" s="21">
        <f>Source!AO127</f>
        <v>3170.64</v>
      </c>
      <c r="G148" s="20" t="str">
        <f>Source!DG127</f>
        <v/>
      </c>
      <c r="H148" s="9">
        <f>Source!AV127</f>
        <v>1</v>
      </c>
      <c r="I148" s="9">
        <f>IF(Source!BA127&lt;&gt; 0, Source!BA127, 1)</f>
        <v>1</v>
      </c>
      <c r="J148" s="21">
        <f>Source!S127</f>
        <v>317.06</v>
      </c>
      <c r="K148" s="21"/>
    </row>
    <row r="149" spans="1:22" ht="14.25" x14ac:dyDescent="0.2">
      <c r="A149" s="18"/>
      <c r="B149" s="18"/>
      <c r="C149" s="18" t="s">
        <v>732</v>
      </c>
      <c r="D149" s="19"/>
      <c r="E149" s="9"/>
      <c r="F149" s="21">
        <f>Source!AL127</f>
        <v>1.57</v>
      </c>
      <c r="G149" s="20" t="str">
        <f>Source!DD127</f>
        <v/>
      </c>
      <c r="H149" s="9">
        <f>Source!AW127</f>
        <v>1</v>
      </c>
      <c r="I149" s="9">
        <f>IF(Source!BC127&lt;&gt; 0, Source!BC127, 1)</f>
        <v>1</v>
      </c>
      <c r="J149" s="21">
        <f>Source!P127</f>
        <v>0.16</v>
      </c>
      <c r="K149" s="21"/>
    </row>
    <row r="150" spans="1:22" ht="57" x14ac:dyDescent="0.2">
      <c r="A150" s="18" t="s">
        <v>171</v>
      </c>
      <c r="B150" s="18" t="str">
        <f>Source!F128</f>
        <v>21.26-1-112</v>
      </c>
      <c r="C150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D150" s="19" t="str">
        <f>Source!H128</f>
        <v>шт.</v>
      </c>
      <c r="E150" s="9">
        <f>Source!I128</f>
        <v>4</v>
      </c>
      <c r="F150" s="21">
        <f>Source!AK128</f>
        <v>388.06</v>
      </c>
      <c r="G150" s="28" t="s">
        <v>3</v>
      </c>
      <c r="H150" s="9">
        <f>Source!AW128</f>
        <v>1</v>
      </c>
      <c r="I150" s="9">
        <f>IF(Source!BC128&lt;&gt; 0, Source!BC128, 1)</f>
        <v>1</v>
      </c>
      <c r="J150" s="21">
        <f>Source!O128</f>
        <v>1552.24</v>
      </c>
      <c r="K150" s="21"/>
      <c r="Q150">
        <f>ROUND((Source!BZ128/100)*ROUND((Source!AF128*Source!AV128)*Source!I128, 2), 2)</f>
        <v>0</v>
      </c>
      <c r="R150">
        <f>Source!X128</f>
        <v>0</v>
      </c>
      <c r="S150">
        <f>ROUND((Source!CA128/100)*ROUND((Source!AF128*Source!AV128)*Source!I128, 2), 2)</f>
        <v>0</v>
      </c>
      <c r="T150">
        <f>Source!Y128</f>
        <v>0</v>
      </c>
      <c r="U150">
        <f>ROUND((175/100)*ROUND((Source!AE128*Source!AV128)*Source!I128, 2), 2)</f>
        <v>0</v>
      </c>
      <c r="V150">
        <f>ROUND((108/100)*ROUND(Source!CS128*Source!I128, 2), 2)</f>
        <v>0</v>
      </c>
    </row>
    <row r="151" spans="1:22" ht="14.25" x14ac:dyDescent="0.2">
      <c r="A151" s="18"/>
      <c r="B151" s="18"/>
      <c r="C151" s="18" t="s">
        <v>733</v>
      </c>
      <c r="D151" s="19" t="s">
        <v>734</v>
      </c>
      <c r="E151" s="9">
        <f>Source!AT127</f>
        <v>70</v>
      </c>
      <c r="F151" s="21"/>
      <c r="G151" s="20"/>
      <c r="H151" s="9"/>
      <c r="I151" s="9"/>
      <c r="J151" s="21">
        <f>SUM(R146:R150)</f>
        <v>221.94</v>
      </c>
      <c r="K151" s="21"/>
    </row>
    <row r="152" spans="1:22" ht="14.25" x14ac:dyDescent="0.2">
      <c r="A152" s="18"/>
      <c r="B152" s="18"/>
      <c r="C152" s="18" t="s">
        <v>735</v>
      </c>
      <c r="D152" s="19" t="s">
        <v>734</v>
      </c>
      <c r="E152" s="9">
        <f>Source!AU127</f>
        <v>10</v>
      </c>
      <c r="F152" s="21"/>
      <c r="G152" s="20"/>
      <c r="H152" s="9"/>
      <c r="I152" s="9"/>
      <c r="J152" s="21">
        <f>SUM(T146:T151)</f>
        <v>31.71</v>
      </c>
      <c r="K152" s="21"/>
    </row>
    <row r="153" spans="1:22" ht="14.25" x14ac:dyDescent="0.2">
      <c r="A153" s="18"/>
      <c r="B153" s="18"/>
      <c r="C153" s="18" t="s">
        <v>736</v>
      </c>
      <c r="D153" s="19" t="s">
        <v>737</v>
      </c>
      <c r="E153" s="9">
        <f>Source!AQ127</f>
        <v>5.64</v>
      </c>
      <c r="F153" s="21"/>
      <c r="G153" s="20" t="str">
        <f>Source!DI127</f>
        <v/>
      </c>
      <c r="H153" s="9">
        <f>Source!AV127</f>
        <v>1</v>
      </c>
      <c r="I153" s="9"/>
      <c r="J153" s="21"/>
      <c r="K153" s="21">
        <f>Source!U127</f>
        <v>0.56399999999999995</v>
      </c>
    </row>
    <row r="154" spans="1:22" ht="15" x14ac:dyDescent="0.25">
      <c r="A154" s="23"/>
      <c r="B154" s="23"/>
      <c r="C154" s="23"/>
      <c r="D154" s="23"/>
      <c r="E154" s="23"/>
      <c r="F154" s="23"/>
      <c r="G154" s="23"/>
      <c r="H154" s="23"/>
      <c r="I154" s="51">
        <f>J148+J149+J151+J152+SUM(J150:J150)</f>
        <v>2123.11</v>
      </c>
      <c r="J154" s="51"/>
      <c r="K154" s="24">
        <f>IF(Source!I127&lt;&gt;0, ROUND(I154/Source!I127, 2), 0)</f>
        <v>21231.1</v>
      </c>
      <c r="P154" s="22">
        <f>I154</f>
        <v>2123.11</v>
      </c>
    </row>
    <row r="155" spans="1:22" ht="85.5" x14ac:dyDescent="0.2">
      <c r="A155" s="18">
        <v>15</v>
      </c>
      <c r="B155" s="18" t="str">
        <f>Source!F129</f>
        <v>1.23-2103-21-1/1</v>
      </c>
      <c r="C155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D155" s="19" t="str">
        <f>Source!H129</f>
        <v>шт.</v>
      </c>
      <c r="E155" s="9">
        <f>Source!I129</f>
        <v>1</v>
      </c>
      <c r="F155" s="21"/>
      <c r="G155" s="20"/>
      <c r="H155" s="9"/>
      <c r="I155" s="9"/>
      <c r="J155" s="21"/>
      <c r="K155" s="21"/>
      <c r="Q155">
        <f>ROUND((Source!BZ129/100)*ROUND((Source!AF129*Source!AV129)*Source!I129, 2), 2)</f>
        <v>894.17</v>
      </c>
      <c r="R155">
        <f>Source!X129</f>
        <v>894.17</v>
      </c>
      <c r="S155">
        <f>ROUND((Source!CA129/100)*ROUND((Source!AF129*Source!AV129)*Source!I129, 2), 2)</f>
        <v>127.74</v>
      </c>
      <c r="T155">
        <f>Source!Y129</f>
        <v>127.74</v>
      </c>
      <c r="U155">
        <f>ROUND((175/100)*ROUND((Source!AE129*Source!AV129)*Source!I129, 2), 2)</f>
        <v>0</v>
      </c>
      <c r="V155">
        <f>ROUND((108/100)*ROUND(Source!CS129*Source!I129, 2), 2)</f>
        <v>0</v>
      </c>
    </row>
    <row r="156" spans="1:22" ht="14.25" x14ac:dyDescent="0.2">
      <c r="A156" s="18"/>
      <c r="B156" s="18"/>
      <c r="C156" s="18" t="s">
        <v>731</v>
      </c>
      <c r="D156" s="19"/>
      <c r="E156" s="9"/>
      <c r="F156" s="21">
        <f>Source!AO129</f>
        <v>638.69000000000005</v>
      </c>
      <c r="G156" s="20" t="str">
        <f>Source!DG129</f>
        <v>)*2</v>
      </c>
      <c r="H156" s="9">
        <f>Source!AV129</f>
        <v>1</v>
      </c>
      <c r="I156" s="9">
        <f>IF(Source!BA129&lt;&gt; 0, Source!BA129, 1)</f>
        <v>1</v>
      </c>
      <c r="J156" s="21">
        <f>Source!S129</f>
        <v>1277.3800000000001</v>
      </c>
      <c r="K156" s="21"/>
    </row>
    <row r="157" spans="1:22" ht="14.25" x14ac:dyDescent="0.2">
      <c r="A157" s="18"/>
      <c r="B157" s="18"/>
      <c r="C157" s="18" t="s">
        <v>732</v>
      </c>
      <c r="D157" s="19"/>
      <c r="E157" s="9"/>
      <c r="F157" s="21">
        <f>Source!AL129</f>
        <v>19.14</v>
      </c>
      <c r="G157" s="20" t="str">
        <f>Source!DD129</f>
        <v>)*2</v>
      </c>
      <c r="H157" s="9">
        <f>Source!AW129</f>
        <v>1</v>
      </c>
      <c r="I157" s="9">
        <f>IF(Source!BC129&lt;&gt; 0, Source!BC129, 1)</f>
        <v>1</v>
      </c>
      <c r="J157" s="21">
        <f>Source!P129</f>
        <v>38.28</v>
      </c>
      <c r="K157" s="21"/>
    </row>
    <row r="158" spans="1:22" ht="14.25" x14ac:dyDescent="0.2">
      <c r="A158" s="18"/>
      <c r="B158" s="18"/>
      <c r="C158" s="18" t="s">
        <v>733</v>
      </c>
      <c r="D158" s="19" t="s">
        <v>734</v>
      </c>
      <c r="E158" s="9">
        <f>Source!AT129</f>
        <v>70</v>
      </c>
      <c r="F158" s="21"/>
      <c r="G158" s="20"/>
      <c r="H158" s="9"/>
      <c r="I158" s="9"/>
      <c r="J158" s="21">
        <f>SUM(R155:R157)</f>
        <v>894.17</v>
      </c>
      <c r="K158" s="21"/>
    </row>
    <row r="159" spans="1:22" ht="14.25" x14ac:dyDescent="0.2">
      <c r="A159" s="18"/>
      <c r="B159" s="18"/>
      <c r="C159" s="18" t="s">
        <v>735</v>
      </c>
      <c r="D159" s="19" t="s">
        <v>734</v>
      </c>
      <c r="E159" s="9">
        <f>Source!AU129</f>
        <v>10</v>
      </c>
      <c r="F159" s="21"/>
      <c r="G159" s="20"/>
      <c r="H159" s="9"/>
      <c r="I159" s="9"/>
      <c r="J159" s="21">
        <f>SUM(T155:T158)</f>
        <v>127.74</v>
      </c>
      <c r="K159" s="21"/>
    </row>
    <row r="160" spans="1:22" ht="14.25" x14ac:dyDescent="0.2">
      <c r="A160" s="18"/>
      <c r="B160" s="18"/>
      <c r="C160" s="18" t="s">
        <v>736</v>
      </c>
      <c r="D160" s="19" t="s">
        <v>737</v>
      </c>
      <c r="E160" s="9">
        <f>Source!AQ129</f>
        <v>0.77</v>
      </c>
      <c r="F160" s="21"/>
      <c r="G160" s="20" t="str">
        <f>Source!DI129</f>
        <v>)*2</v>
      </c>
      <c r="H160" s="9">
        <f>Source!AV129</f>
        <v>1</v>
      </c>
      <c r="I160" s="9"/>
      <c r="J160" s="21"/>
      <c r="K160" s="21">
        <f>Source!U129</f>
        <v>1.54</v>
      </c>
    </row>
    <row r="161" spans="1:22" ht="15" x14ac:dyDescent="0.25">
      <c r="A161" s="23"/>
      <c r="B161" s="23"/>
      <c r="C161" s="23"/>
      <c r="D161" s="23"/>
      <c r="E161" s="23"/>
      <c r="F161" s="23"/>
      <c r="G161" s="23"/>
      <c r="H161" s="23"/>
      <c r="I161" s="51">
        <f>J156+J157+J158+J159</f>
        <v>2337.5699999999997</v>
      </c>
      <c r="J161" s="51"/>
      <c r="K161" s="24">
        <f>IF(Source!I129&lt;&gt;0, ROUND(I161/Source!I129, 2), 0)</f>
        <v>2337.5700000000002</v>
      </c>
      <c r="P161" s="22">
        <f>I161</f>
        <v>2337.5699999999997</v>
      </c>
    </row>
    <row r="163" spans="1:22" ht="15" customHeight="1" x14ac:dyDescent="0.25">
      <c r="B163" s="52" t="str">
        <f>Source!G130</f>
        <v>Стандартный насосный узел смешения серии АУУ-С-065-065-С-R V2</v>
      </c>
      <c r="C163" s="52"/>
      <c r="D163" s="52"/>
      <c r="E163" s="52"/>
      <c r="F163" s="52"/>
      <c r="G163" s="52"/>
      <c r="H163" s="52"/>
      <c r="I163" s="52"/>
      <c r="J163" s="52"/>
    </row>
    <row r="164" spans="1:22" ht="71.25" x14ac:dyDescent="0.2">
      <c r="A164" s="18">
        <v>16</v>
      </c>
      <c r="B164" s="18" t="str">
        <f>Source!F134</f>
        <v>1.23-2103-9-7/1</v>
      </c>
      <c r="C164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164" s="19" t="str">
        <f>Source!H134</f>
        <v>шт.</v>
      </c>
      <c r="E164" s="9">
        <f>Source!I134</f>
        <v>3</v>
      </c>
      <c r="F164" s="21"/>
      <c r="G164" s="20"/>
      <c r="H164" s="9"/>
      <c r="I164" s="9"/>
      <c r="J164" s="21"/>
      <c r="K164" s="21"/>
      <c r="Q164">
        <f>ROUND((Source!BZ134/100)*ROUND((Source!AF134*Source!AV134)*Source!I134, 2), 2)</f>
        <v>2074.7600000000002</v>
      </c>
      <c r="R164">
        <f>Source!X134</f>
        <v>2074.7600000000002</v>
      </c>
      <c r="S164">
        <f>ROUND((Source!CA134/100)*ROUND((Source!AF134*Source!AV134)*Source!I134, 2), 2)</f>
        <v>296.39</v>
      </c>
      <c r="T164">
        <f>Source!Y134</f>
        <v>296.39</v>
      </c>
      <c r="U164">
        <f>ROUND((175/100)*ROUND((Source!AE134*Source!AV134)*Source!I134, 2), 2)</f>
        <v>0</v>
      </c>
      <c r="V164">
        <f>ROUND((108/100)*ROUND(Source!CS134*Source!I134, 2), 2)</f>
        <v>0</v>
      </c>
    </row>
    <row r="165" spans="1:22" x14ac:dyDescent="0.2">
      <c r="C165" s="25" t="str">
        <f>"Объем: "&amp;Source!I134&amp;"=2+"&amp;"1"</f>
        <v>Объем: 3=2+1</v>
      </c>
    </row>
    <row r="166" spans="1:22" ht="14.25" x14ac:dyDescent="0.2">
      <c r="A166" s="18"/>
      <c r="B166" s="18"/>
      <c r="C166" s="18" t="s">
        <v>731</v>
      </c>
      <c r="D166" s="19"/>
      <c r="E166" s="9"/>
      <c r="F166" s="21">
        <f>Source!AO134</f>
        <v>493.99</v>
      </c>
      <c r="G166" s="20" t="str">
        <f>Source!DG134</f>
        <v>)*2</v>
      </c>
      <c r="H166" s="9">
        <f>Source!AV134</f>
        <v>1</v>
      </c>
      <c r="I166" s="9">
        <f>IF(Source!BA134&lt;&gt; 0, Source!BA134, 1)</f>
        <v>1</v>
      </c>
      <c r="J166" s="21">
        <f>Source!S134</f>
        <v>2963.94</v>
      </c>
      <c r="K166" s="21"/>
    </row>
    <row r="167" spans="1:22" ht="14.25" x14ac:dyDescent="0.2">
      <c r="A167" s="18"/>
      <c r="B167" s="18"/>
      <c r="C167" s="18" t="s">
        <v>733</v>
      </c>
      <c r="D167" s="19" t="s">
        <v>734</v>
      </c>
      <c r="E167" s="9">
        <f>Source!AT134</f>
        <v>70</v>
      </c>
      <c r="F167" s="21"/>
      <c r="G167" s="20"/>
      <c r="H167" s="9"/>
      <c r="I167" s="9"/>
      <c r="J167" s="21">
        <f>SUM(R164:R166)</f>
        <v>2074.7600000000002</v>
      </c>
      <c r="K167" s="21"/>
    </row>
    <row r="168" spans="1:22" ht="14.25" x14ac:dyDescent="0.2">
      <c r="A168" s="18"/>
      <c r="B168" s="18"/>
      <c r="C168" s="18" t="s">
        <v>735</v>
      </c>
      <c r="D168" s="19" t="s">
        <v>734</v>
      </c>
      <c r="E168" s="9">
        <f>Source!AU134</f>
        <v>10</v>
      </c>
      <c r="F168" s="21"/>
      <c r="G168" s="20"/>
      <c r="H168" s="9"/>
      <c r="I168" s="9"/>
      <c r="J168" s="21">
        <f>SUM(T164:T167)</f>
        <v>296.39</v>
      </c>
      <c r="K168" s="21"/>
    </row>
    <row r="169" spans="1:22" ht="14.25" x14ac:dyDescent="0.2">
      <c r="A169" s="18"/>
      <c r="B169" s="18"/>
      <c r="C169" s="18" t="s">
        <v>736</v>
      </c>
      <c r="D169" s="19" t="s">
        <v>737</v>
      </c>
      <c r="E169" s="9">
        <f>Source!AQ134</f>
        <v>0.8</v>
      </c>
      <c r="F169" s="21"/>
      <c r="G169" s="20" t="str">
        <f>Source!DI134</f>
        <v>)*2</v>
      </c>
      <c r="H169" s="9">
        <f>Source!AV134</f>
        <v>1</v>
      </c>
      <c r="I169" s="9"/>
      <c r="J169" s="21"/>
      <c r="K169" s="21">
        <f>Source!U134</f>
        <v>4.8000000000000007</v>
      </c>
    </row>
    <row r="170" spans="1:22" ht="15" x14ac:dyDescent="0.25">
      <c r="A170" s="23"/>
      <c r="B170" s="23"/>
      <c r="C170" s="23"/>
      <c r="D170" s="23"/>
      <c r="E170" s="23"/>
      <c r="F170" s="23"/>
      <c r="G170" s="23"/>
      <c r="H170" s="23"/>
      <c r="I170" s="51">
        <f>J166+J167+J168</f>
        <v>5335.0900000000011</v>
      </c>
      <c r="J170" s="51"/>
      <c r="K170" s="24">
        <f>IF(Source!I134&lt;&gt;0, ROUND(I170/Source!I134, 2), 0)</f>
        <v>1778.36</v>
      </c>
      <c r="P170" s="22">
        <f>I170</f>
        <v>5335.0900000000011</v>
      </c>
    </row>
    <row r="171" spans="1:22" ht="42.75" x14ac:dyDescent="0.2">
      <c r="A171" s="18">
        <v>17</v>
      </c>
      <c r="B171" s="18" t="str">
        <f>Source!F135</f>
        <v>1.15-2203-9-2/1</v>
      </c>
      <c r="C171" s="18" t="str">
        <f>Source!G135</f>
        <v>Техническое обслуживание клапанов обратных фланцевых диаметром 100-150 мм</v>
      </c>
      <c r="D171" s="19" t="str">
        <f>Source!H135</f>
        <v>шт.</v>
      </c>
      <c r="E171" s="9">
        <f>Source!I135</f>
        <v>3</v>
      </c>
      <c r="F171" s="21"/>
      <c r="G171" s="20"/>
      <c r="H171" s="9"/>
      <c r="I171" s="9"/>
      <c r="J171" s="21"/>
      <c r="K171" s="21"/>
      <c r="Q171">
        <f>ROUND((Source!BZ135/100)*ROUND((Source!AF135*Source!AV135)*Source!I135, 2), 2)</f>
        <v>259.70999999999998</v>
      </c>
      <c r="R171">
        <f>Source!X135</f>
        <v>259.70999999999998</v>
      </c>
      <c r="S171">
        <f>ROUND((Source!CA135/100)*ROUND((Source!AF135*Source!AV135)*Source!I135, 2), 2)</f>
        <v>37.1</v>
      </c>
      <c r="T171">
        <f>Source!Y135</f>
        <v>37.1</v>
      </c>
      <c r="U171">
        <f>ROUND((175/100)*ROUND((Source!AE135*Source!AV135)*Source!I135, 2), 2)</f>
        <v>0</v>
      </c>
      <c r="V171">
        <f>ROUND((108/100)*ROUND(Source!CS135*Source!I135, 2), 2)</f>
        <v>0</v>
      </c>
    </row>
    <row r="172" spans="1:22" x14ac:dyDescent="0.2">
      <c r="C172" s="25" t="str">
        <f>"Объем: "&amp;Source!I135&amp;"=1+"&amp;"2"</f>
        <v>Объем: 3=1+2</v>
      </c>
    </row>
    <row r="173" spans="1:22" ht="14.25" x14ac:dyDescent="0.2">
      <c r="A173" s="18"/>
      <c r="B173" s="18"/>
      <c r="C173" s="18" t="s">
        <v>731</v>
      </c>
      <c r="D173" s="19"/>
      <c r="E173" s="9"/>
      <c r="F173" s="21">
        <f>Source!AO135</f>
        <v>123.67</v>
      </c>
      <c r="G173" s="20" t="str">
        <f>Source!DG135</f>
        <v/>
      </c>
      <c r="H173" s="9">
        <f>Source!AV135</f>
        <v>1</v>
      </c>
      <c r="I173" s="9">
        <f>IF(Source!BA135&lt;&gt; 0, Source!BA135, 1)</f>
        <v>1</v>
      </c>
      <c r="J173" s="21">
        <f>Source!S135</f>
        <v>371.01</v>
      </c>
      <c r="K173" s="21"/>
    </row>
    <row r="174" spans="1:22" ht="14.25" x14ac:dyDescent="0.2">
      <c r="A174" s="18"/>
      <c r="B174" s="18"/>
      <c r="C174" s="18" t="s">
        <v>732</v>
      </c>
      <c r="D174" s="19"/>
      <c r="E174" s="9"/>
      <c r="F174" s="21">
        <f>Source!AL135</f>
        <v>0.63</v>
      </c>
      <c r="G174" s="20" t="str">
        <f>Source!DD135</f>
        <v/>
      </c>
      <c r="H174" s="9">
        <f>Source!AW135</f>
        <v>1</v>
      </c>
      <c r="I174" s="9">
        <f>IF(Source!BC135&lt;&gt; 0, Source!BC135, 1)</f>
        <v>1</v>
      </c>
      <c r="J174" s="21">
        <f>Source!P135</f>
        <v>1.89</v>
      </c>
      <c r="K174" s="21"/>
    </row>
    <row r="175" spans="1:22" ht="14.25" x14ac:dyDescent="0.2">
      <c r="A175" s="18"/>
      <c r="B175" s="18"/>
      <c r="C175" s="18" t="s">
        <v>733</v>
      </c>
      <c r="D175" s="19" t="s">
        <v>734</v>
      </c>
      <c r="E175" s="9">
        <f>Source!AT135</f>
        <v>70</v>
      </c>
      <c r="F175" s="21"/>
      <c r="G175" s="20"/>
      <c r="H175" s="9"/>
      <c r="I175" s="9"/>
      <c r="J175" s="21">
        <f>SUM(R171:R174)</f>
        <v>259.70999999999998</v>
      </c>
      <c r="K175" s="21"/>
    </row>
    <row r="176" spans="1:22" ht="14.25" x14ac:dyDescent="0.2">
      <c r="A176" s="18"/>
      <c r="B176" s="18"/>
      <c r="C176" s="18" t="s">
        <v>735</v>
      </c>
      <c r="D176" s="19" t="s">
        <v>734</v>
      </c>
      <c r="E176" s="9">
        <f>Source!AU135</f>
        <v>10</v>
      </c>
      <c r="F176" s="21"/>
      <c r="G176" s="20"/>
      <c r="H176" s="9"/>
      <c r="I176" s="9"/>
      <c r="J176" s="21">
        <f>SUM(T171:T175)</f>
        <v>37.1</v>
      </c>
      <c r="K176" s="21"/>
    </row>
    <row r="177" spans="1:22" ht="14.25" x14ac:dyDescent="0.2">
      <c r="A177" s="18"/>
      <c r="B177" s="18"/>
      <c r="C177" s="18" t="s">
        <v>736</v>
      </c>
      <c r="D177" s="19" t="s">
        <v>737</v>
      </c>
      <c r="E177" s="9">
        <f>Source!AQ135</f>
        <v>0.22</v>
      </c>
      <c r="F177" s="21"/>
      <c r="G177" s="20" t="str">
        <f>Source!DI135</f>
        <v/>
      </c>
      <c r="H177" s="9">
        <f>Source!AV135</f>
        <v>1</v>
      </c>
      <c r="I177" s="9"/>
      <c r="J177" s="21"/>
      <c r="K177" s="21">
        <f>Source!U135</f>
        <v>0.66</v>
      </c>
    </row>
    <row r="178" spans="1:22" ht="15" x14ac:dyDescent="0.25">
      <c r="A178" s="23"/>
      <c r="B178" s="23"/>
      <c r="C178" s="23"/>
      <c r="D178" s="23"/>
      <c r="E178" s="23"/>
      <c r="F178" s="23"/>
      <c r="G178" s="23"/>
      <c r="H178" s="23"/>
      <c r="I178" s="51">
        <f>J173+J174+J175+J176</f>
        <v>669.70999999999992</v>
      </c>
      <c r="J178" s="51"/>
      <c r="K178" s="24">
        <f>IF(Source!I135&lt;&gt;0, ROUND(I178/Source!I135, 2), 0)</f>
        <v>223.24</v>
      </c>
      <c r="P178" s="22">
        <f>I178</f>
        <v>669.70999999999992</v>
      </c>
    </row>
    <row r="179" spans="1:22" ht="42.75" x14ac:dyDescent="0.2">
      <c r="A179" s="18">
        <v>18</v>
      </c>
      <c r="B179" s="18" t="str">
        <f>Source!F136</f>
        <v>1.23-2103-41-1/1</v>
      </c>
      <c r="C179" s="18" t="str">
        <f>Source!G136</f>
        <v>Техническое обслуживание регулирующего клапана / Трехходовой регулирующий клапан  Данфосс</v>
      </c>
      <c r="D179" s="19" t="str">
        <f>Source!H136</f>
        <v>шт.</v>
      </c>
      <c r="E179" s="9">
        <f>Source!I136</f>
        <v>1</v>
      </c>
      <c r="F179" s="21"/>
      <c r="G179" s="20"/>
      <c r="H179" s="9"/>
      <c r="I179" s="9"/>
      <c r="J179" s="21"/>
      <c r="K179" s="21"/>
      <c r="Q179">
        <f>ROUND((Source!BZ136/100)*ROUND((Source!AF136*Source!AV136)*Source!I136, 2), 2)</f>
        <v>291.2</v>
      </c>
      <c r="R179">
        <f>Source!X136</f>
        <v>291.2</v>
      </c>
      <c r="S179">
        <f>ROUND((Source!CA136/100)*ROUND((Source!AF136*Source!AV136)*Source!I136, 2), 2)</f>
        <v>41.6</v>
      </c>
      <c r="T179">
        <f>Source!Y136</f>
        <v>41.6</v>
      </c>
      <c r="U179">
        <f>ROUND((175/100)*ROUND((Source!AE136*Source!AV136)*Source!I136, 2), 2)</f>
        <v>173.5</v>
      </c>
      <c r="V179">
        <f>ROUND((108/100)*ROUND(Source!CS136*Source!I136, 2), 2)</f>
        <v>107.07</v>
      </c>
    </row>
    <row r="180" spans="1:22" ht="14.25" x14ac:dyDescent="0.2">
      <c r="A180" s="18"/>
      <c r="B180" s="18"/>
      <c r="C180" s="18" t="s">
        <v>731</v>
      </c>
      <c r="D180" s="19"/>
      <c r="E180" s="9"/>
      <c r="F180" s="21">
        <f>Source!AO136</f>
        <v>208</v>
      </c>
      <c r="G180" s="20" t="str">
        <f>Source!DG136</f>
        <v>)*2</v>
      </c>
      <c r="H180" s="9">
        <f>Source!AV136</f>
        <v>1</v>
      </c>
      <c r="I180" s="9">
        <f>IF(Source!BA136&lt;&gt; 0, Source!BA136, 1)</f>
        <v>1</v>
      </c>
      <c r="J180" s="21">
        <f>Source!S136</f>
        <v>416</v>
      </c>
      <c r="K180" s="21"/>
    </row>
    <row r="181" spans="1:22" ht="14.25" x14ac:dyDescent="0.2">
      <c r="A181" s="18"/>
      <c r="B181" s="18"/>
      <c r="C181" s="18" t="s">
        <v>738</v>
      </c>
      <c r="D181" s="19"/>
      <c r="E181" s="9"/>
      <c r="F181" s="21">
        <f>Source!AM136</f>
        <v>78.180000000000007</v>
      </c>
      <c r="G181" s="20" t="str">
        <f>Source!DE136</f>
        <v>)*2</v>
      </c>
      <c r="H181" s="9">
        <f>Source!AV136</f>
        <v>1</v>
      </c>
      <c r="I181" s="9">
        <f>IF(Source!BB136&lt;&gt; 0, Source!BB136, 1)</f>
        <v>1</v>
      </c>
      <c r="J181" s="21">
        <f>Source!Q136</f>
        <v>156.36000000000001</v>
      </c>
      <c r="K181" s="21"/>
    </row>
    <row r="182" spans="1:22" ht="14.25" x14ac:dyDescent="0.2">
      <c r="A182" s="18"/>
      <c r="B182" s="18"/>
      <c r="C182" s="18" t="s">
        <v>739</v>
      </c>
      <c r="D182" s="19"/>
      <c r="E182" s="9"/>
      <c r="F182" s="21">
        <f>Source!AN136</f>
        <v>49.57</v>
      </c>
      <c r="G182" s="20" t="str">
        <f>Source!DF136</f>
        <v>)*2</v>
      </c>
      <c r="H182" s="9">
        <f>Source!AV136</f>
        <v>1</v>
      </c>
      <c r="I182" s="9">
        <f>IF(Source!BS136&lt;&gt; 0, Source!BS136, 1)</f>
        <v>1</v>
      </c>
      <c r="J182" s="27">
        <f>Source!R136</f>
        <v>99.14</v>
      </c>
      <c r="K182" s="21"/>
    </row>
    <row r="183" spans="1:22" ht="14.25" x14ac:dyDescent="0.2">
      <c r="A183" s="18"/>
      <c r="B183" s="18"/>
      <c r="C183" s="18" t="s">
        <v>733</v>
      </c>
      <c r="D183" s="19" t="s">
        <v>734</v>
      </c>
      <c r="E183" s="9">
        <f>Source!AT136</f>
        <v>70</v>
      </c>
      <c r="F183" s="21"/>
      <c r="G183" s="20"/>
      <c r="H183" s="9"/>
      <c r="I183" s="9"/>
      <c r="J183" s="21">
        <f>SUM(R179:R182)</f>
        <v>291.2</v>
      </c>
      <c r="K183" s="21"/>
    </row>
    <row r="184" spans="1:22" ht="14.25" x14ac:dyDescent="0.2">
      <c r="A184" s="18"/>
      <c r="B184" s="18"/>
      <c r="C184" s="18" t="s">
        <v>735</v>
      </c>
      <c r="D184" s="19" t="s">
        <v>734</v>
      </c>
      <c r="E184" s="9">
        <f>Source!AU136</f>
        <v>10</v>
      </c>
      <c r="F184" s="21"/>
      <c r="G184" s="20"/>
      <c r="H184" s="9"/>
      <c r="I184" s="9"/>
      <c r="J184" s="21">
        <f>SUM(T179:T183)</f>
        <v>41.6</v>
      </c>
      <c r="K184" s="21"/>
    </row>
    <row r="185" spans="1:22" ht="14.25" x14ac:dyDescent="0.2">
      <c r="A185" s="18"/>
      <c r="B185" s="18"/>
      <c r="C185" s="18" t="s">
        <v>740</v>
      </c>
      <c r="D185" s="19" t="s">
        <v>734</v>
      </c>
      <c r="E185" s="9">
        <f>108</f>
        <v>108</v>
      </c>
      <c r="F185" s="21"/>
      <c r="G185" s="20"/>
      <c r="H185" s="9"/>
      <c r="I185" s="9"/>
      <c r="J185" s="21">
        <f>SUM(V179:V184)</f>
        <v>107.07</v>
      </c>
      <c r="K185" s="21"/>
    </row>
    <row r="186" spans="1:22" ht="14.25" x14ac:dyDescent="0.2">
      <c r="A186" s="18"/>
      <c r="B186" s="18"/>
      <c r="C186" s="18" t="s">
        <v>736</v>
      </c>
      <c r="D186" s="19" t="s">
        <v>737</v>
      </c>
      <c r="E186" s="9">
        <f>Source!AQ136</f>
        <v>0.37</v>
      </c>
      <c r="F186" s="21"/>
      <c r="G186" s="20" t="str">
        <f>Source!DI136</f>
        <v>)*2</v>
      </c>
      <c r="H186" s="9">
        <f>Source!AV136</f>
        <v>1</v>
      </c>
      <c r="I186" s="9"/>
      <c r="J186" s="21"/>
      <c r="K186" s="21">
        <f>Source!U136</f>
        <v>0.74</v>
      </c>
    </row>
    <row r="187" spans="1:22" ht="15" x14ac:dyDescent="0.25">
      <c r="A187" s="23"/>
      <c r="B187" s="23"/>
      <c r="C187" s="23"/>
      <c r="D187" s="23"/>
      <c r="E187" s="23"/>
      <c r="F187" s="23"/>
      <c r="G187" s="23"/>
      <c r="H187" s="23"/>
      <c r="I187" s="51">
        <f>J180+J181+J183+J184+J185</f>
        <v>1012.23</v>
      </c>
      <c r="J187" s="51"/>
      <c r="K187" s="24">
        <f>IF(Source!I136&lt;&gt;0, ROUND(I187/Source!I136, 2), 0)</f>
        <v>1012.23</v>
      </c>
      <c r="P187" s="22">
        <f>I187</f>
        <v>1012.23</v>
      </c>
    </row>
    <row r="188" spans="1:22" ht="57" x14ac:dyDescent="0.2">
      <c r="A188" s="18">
        <v>19</v>
      </c>
      <c r="B188" s="18" t="str">
        <f>Source!F137</f>
        <v>1.23-2303-4-4/1</v>
      </c>
      <c r="C188" s="18" t="str">
        <f>Source!G137</f>
        <v>Техническое обслуживание средств автоматизации, механизмы электрические однооборотные МЭО, ИМ</v>
      </c>
      <c r="D188" s="19" t="str">
        <f>Source!H137</f>
        <v>шт.</v>
      </c>
      <c r="E188" s="9">
        <f>Source!I137</f>
        <v>1</v>
      </c>
      <c r="F188" s="21"/>
      <c r="G188" s="20"/>
      <c r="H188" s="9"/>
      <c r="I188" s="9"/>
      <c r="J188" s="21"/>
      <c r="K188" s="21"/>
      <c r="Q188">
        <f>ROUND((Source!BZ137/100)*ROUND((Source!AF137*Source!AV137)*Source!I137, 2), 2)</f>
        <v>1881.24</v>
      </c>
      <c r="R188">
        <f>Source!X137</f>
        <v>1881.24</v>
      </c>
      <c r="S188">
        <f>ROUND((Source!CA137/100)*ROUND((Source!AF137*Source!AV137)*Source!I137, 2), 2)</f>
        <v>268.75</v>
      </c>
      <c r="T188">
        <f>Source!Y137</f>
        <v>268.75</v>
      </c>
      <c r="U188">
        <f>ROUND((175/100)*ROUND((Source!AE137*Source!AV137)*Source!I137, 2), 2)</f>
        <v>0</v>
      </c>
      <c r="V188">
        <f>ROUND((108/100)*ROUND(Source!CS137*Source!I137, 2), 2)</f>
        <v>0</v>
      </c>
    </row>
    <row r="189" spans="1:22" ht="14.25" x14ac:dyDescent="0.2">
      <c r="A189" s="18"/>
      <c r="B189" s="18"/>
      <c r="C189" s="18" t="s">
        <v>731</v>
      </c>
      <c r="D189" s="19"/>
      <c r="E189" s="9"/>
      <c r="F189" s="21">
        <f>Source!AO137</f>
        <v>1343.74</v>
      </c>
      <c r="G189" s="20" t="str">
        <f>Source!DG137</f>
        <v>)*2</v>
      </c>
      <c r="H189" s="9">
        <f>Source!AV137</f>
        <v>1</v>
      </c>
      <c r="I189" s="9">
        <f>IF(Source!BA137&lt;&gt; 0, Source!BA137, 1)</f>
        <v>1</v>
      </c>
      <c r="J189" s="21">
        <f>Source!S137</f>
        <v>2687.48</v>
      </c>
      <c r="K189" s="21"/>
    </row>
    <row r="190" spans="1:22" ht="14.25" x14ac:dyDescent="0.2">
      <c r="A190" s="18"/>
      <c r="B190" s="18"/>
      <c r="C190" s="18" t="s">
        <v>733</v>
      </c>
      <c r="D190" s="19" t="s">
        <v>734</v>
      </c>
      <c r="E190" s="9">
        <f>Source!AT137</f>
        <v>70</v>
      </c>
      <c r="F190" s="21"/>
      <c r="G190" s="20"/>
      <c r="H190" s="9"/>
      <c r="I190" s="9"/>
      <c r="J190" s="21">
        <f>SUM(R188:R189)</f>
        <v>1881.24</v>
      </c>
      <c r="K190" s="21"/>
    </row>
    <row r="191" spans="1:22" ht="14.25" x14ac:dyDescent="0.2">
      <c r="A191" s="18"/>
      <c r="B191" s="18"/>
      <c r="C191" s="18" t="s">
        <v>735</v>
      </c>
      <c r="D191" s="19" t="s">
        <v>734</v>
      </c>
      <c r="E191" s="9">
        <f>Source!AU137</f>
        <v>10</v>
      </c>
      <c r="F191" s="21"/>
      <c r="G191" s="20"/>
      <c r="H191" s="9"/>
      <c r="I191" s="9"/>
      <c r="J191" s="21">
        <f>SUM(T188:T190)</f>
        <v>268.75</v>
      </c>
      <c r="K191" s="21"/>
    </row>
    <row r="192" spans="1:22" ht="14.25" x14ac:dyDescent="0.2">
      <c r="A192" s="18"/>
      <c r="B192" s="18"/>
      <c r="C192" s="18" t="s">
        <v>736</v>
      </c>
      <c r="D192" s="19" t="s">
        <v>737</v>
      </c>
      <c r="E192" s="9">
        <f>Source!AQ137</f>
        <v>1.62</v>
      </c>
      <c r="F192" s="21"/>
      <c r="G192" s="20" t="str">
        <f>Source!DI137</f>
        <v>)*2</v>
      </c>
      <c r="H192" s="9">
        <f>Source!AV137</f>
        <v>1</v>
      </c>
      <c r="I192" s="9"/>
      <c r="J192" s="21"/>
      <c r="K192" s="21">
        <f>Source!U137</f>
        <v>3.24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51">
        <f>J189+J190+J191</f>
        <v>4837.47</v>
      </c>
      <c r="J193" s="51"/>
      <c r="K193" s="24">
        <f>IF(Source!I137&lt;&gt;0, ROUND(I193/Source!I137, 2), 0)</f>
        <v>4837.47</v>
      </c>
      <c r="P193" s="22">
        <f>I193</f>
        <v>4837.47</v>
      </c>
    </row>
    <row r="194" spans="1:22" ht="85.5" x14ac:dyDescent="0.2">
      <c r="A194" s="18">
        <v>20</v>
      </c>
      <c r="B194" s="18" t="str">
        <f>Source!F138</f>
        <v>1.15-2203-8-2/1</v>
      </c>
      <c r="C194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194" s="19" t="str">
        <f>Source!H138</f>
        <v>шт.</v>
      </c>
      <c r="E194" s="9">
        <f>Source!I138</f>
        <v>6</v>
      </c>
      <c r="F194" s="21"/>
      <c r="G194" s="20"/>
      <c r="H194" s="9"/>
      <c r="I194" s="9"/>
      <c r="J194" s="21"/>
      <c r="K194" s="21"/>
      <c r="Q194">
        <f>ROUND((Source!BZ138/100)*ROUND((Source!AF138*Source!AV138)*Source!I138, 2), 2)</f>
        <v>566.66</v>
      </c>
      <c r="R194">
        <f>Source!X138</f>
        <v>566.66</v>
      </c>
      <c r="S194">
        <f>ROUND((Source!CA138/100)*ROUND((Source!AF138*Source!AV138)*Source!I138, 2), 2)</f>
        <v>80.95</v>
      </c>
      <c r="T194">
        <f>Source!Y138</f>
        <v>80.95</v>
      </c>
      <c r="U194">
        <f>ROUND((175/100)*ROUND((Source!AE138*Source!AV138)*Source!I138, 2), 2)</f>
        <v>0</v>
      </c>
      <c r="V194">
        <f>ROUND((108/100)*ROUND(Source!CS138*Source!I138, 2), 2)</f>
        <v>0</v>
      </c>
    </row>
    <row r="195" spans="1:22" ht="14.25" x14ac:dyDescent="0.2">
      <c r="A195" s="18"/>
      <c r="B195" s="18"/>
      <c r="C195" s="18" t="s">
        <v>731</v>
      </c>
      <c r="D195" s="19"/>
      <c r="E195" s="9"/>
      <c r="F195" s="21">
        <f>Source!AO138</f>
        <v>134.91999999999999</v>
      </c>
      <c r="G195" s="20" t="str">
        <f>Source!DG138</f>
        <v/>
      </c>
      <c r="H195" s="9">
        <f>Source!AV138</f>
        <v>1</v>
      </c>
      <c r="I195" s="9">
        <f>IF(Source!BA138&lt;&gt; 0, Source!BA138, 1)</f>
        <v>1</v>
      </c>
      <c r="J195" s="21">
        <f>Source!S138</f>
        <v>809.52</v>
      </c>
      <c r="K195" s="21"/>
    </row>
    <row r="196" spans="1:22" ht="14.25" x14ac:dyDescent="0.2">
      <c r="A196" s="18"/>
      <c r="B196" s="18"/>
      <c r="C196" s="18" t="s">
        <v>732</v>
      </c>
      <c r="D196" s="19"/>
      <c r="E196" s="9"/>
      <c r="F196" s="21">
        <f>Source!AL138</f>
        <v>0.63</v>
      </c>
      <c r="G196" s="20" t="str">
        <f>Source!DD138</f>
        <v/>
      </c>
      <c r="H196" s="9">
        <f>Source!AW138</f>
        <v>1</v>
      </c>
      <c r="I196" s="9">
        <f>IF(Source!BC138&lt;&gt; 0, Source!BC138, 1)</f>
        <v>1</v>
      </c>
      <c r="J196" s="21">
        <f>Source!P138</f>
        <v>3.78</v>
      </c>
      <c r="K196" s="21"/>
    </row>
    <row r="197" spans="1:22" ht="14.25" x14ac:dyDescent="0.2">
      <c r="A197" s="18"/>
      <c r="B197" s="18"/>
      <c r="C197" s="18" t="s">
        <v>733</v>
      </c>
      <c r="D197" s="19" t="s">
        <v>734</v>
      </c>
      <c r="E197" s="9">
        <f>Source!AT138</f>
        <v>70</v>
      </c>
      <c r="F197" s="21"/>
      <c r="G197" s="20"/>
      <c r="H197" s="9"/>
      <c r="I197" s="9"/>
      <c r="J197" s="21">
        <f>SUM(R194:R196)</f>
        <v>566.66</v>
      </c>
      <c r="K197" s="21"/>
    </row>
    <row r="198" spans="1:22" ht="14.25" x14ac:dyDescent="0.2">
      <c r="A198" s="18"/>
      <c r="B198" s="18"/>
      <c r="C198" s="18" t="s">
        <v>735</v>
      </c>
      <c r="D198" s="19" t="s">
        <v>734</v>
      </c>
      <c r="E198" s="9">
        <f>Source!AU138</f>
        <v>10</v>
      </c>
      <c r="F198" s="21"/>
      <c r="G198" s="20"/>
      <c r="H198" s="9"/>
      <c r="I198" s="9"/>
      <c r="J198" s="21">
        <f>SUM(T194:T197)</f>
        <v>80.95</v>
      </c>
      <c r="K198" s="21"/>
    </row>
    <row r="199" spans="1:22" ht="14.25" x14ac:dyDescent="0.2">
      <c r="A199" s="18"/>
      <c r="B199" s="18"/>
      <c r="C199" s="18" t="s">
        <v>736</v>
      </c>
      <c r="D199" s="19" t="s">
        <v>737</v>
      </c>
      <c r="E199" s="9">
        <f>Source!AQ138</f>
        <v>0.24</v>
      </c>
      <c r="F199" s="21"/>
      <c r="G199" s="20" t="str">
        <f>Source!DI138</f>
        <v/>
      </c>
      <c r="H199" s="9">
        <f>Source!AV138</f>
        <v>1</v>
      </c>
      <c r="I199" s="9"/>
      <c r="J199" s="21"/>
      <c r="K199" s="21">
        <f>Source!U138</f>
        <v>1.44</v>
      </c>
    </row>
    <row r="200" spans="1:22" ht="15" x14ac:dyDescent="0.25">
      <c r="A200" s="23"/>
      <c r="B200" s="23"/>
      <c r="C200" s="23"/>
      <c r="D200" s="23"/>
      <c r="E200" s="23"/>
      <c r="F200" s="23"/>
      <c r="G200" s="23"/>
      <c r="H200" s="23"/>
      <c r="I200" s="51">
        <f>J195+J196+J197+J198</f>
        <v>1460.91</v>
      </c>
      <c r="J200" s="51"/>
      <c r="K200" s="24">
        <f>IF(Source!I138&lt;&gt;0, ROUND(I200/Source!I138, 2), 0)</f>
        <v>243.49</v>
      </c>
      <c r="P200" s="22">
        <f>I200</f>
        <v>1460.91</v>
      </c>
    </row>
    <row r="201" spans="1:22" ht="57" x14ac:dyDescent="0.2">
      <c r="A201" s="18">
        <v>21</v>
      </c>
      <c r="B201" s="18" t="str">
        <f>Source!F140</f>
        <v>1.24-2503-4-18/1</v>
      </c>
      <c r="C201" s="18" t="str">
        <f>Source!G140</f>
        <v>Техническое обслуживание циркуляционных насосов систем отопления с тепловыми насосами - ежемесячное</v>
      </c>
      <c r="D201" s="19" t="str">
        <f>Source!H140</f>
        <v>шт.</v>
      </c>
      <c r="E201" s="9">
        <f>Source!I140</f>
        <v>2</v>
      </c>
      <c r="F201" s="21"/>
      <c r="G201" s="20"/>
      <c r="H201" s="9"/>
      <c r="I201" s="9"/>
      <c r="J201" s="21"/>
      <c r="K201" s="21"/>
      <c r="Q201">
        <f>ROUND((Source!BZ140/100)*ROUND((Source!AF140*Source!AV140)*Source!I140, 2), 2)</f>
        <v>1649.26</v>
      </c>
      <c r="R201">
        <f>Source!X140</f>
        <v>1649.26</v>
      </c>
      <c r="S201">
        <f>ROUND((Source!CA140/100)*ROUND((Source!AF140*Source!AV140)*Source!I140, 2), 2)</f>
        <v>235.61</v>
      </c>
      <c r="T201">
        <f>Source!Y140</f>
        <v>235.61</v>
      </c>
      <c r="U201">
        <f>ROUND((175/100)*ROUND((Source!AE140*Source!AV140)*Source!I140, 2), 2)</f>
        <v>1735.02</v>
      </c>
      <c r="V201">
        <f>ROUND((108/100)*ROUND(Source!CS140*Source!I140, 2), 2)</f>
        <v>1070.76</v>
      </c>
    </row>
    <row r="202" spans="1:22" ht="14.25" x14ac:dyDescent="0.2">
      <c r="A202" s="18"/>
      <c r="B202" s="18"/>
      <c r="C202" s="18" t="s">
        <v>731</v>
      </c>
      <c r="D202" s="19"/>
      <c r="E202" s="9"/>
      <c r="F202" s="21">
        <f>Source!AO140</f>
        <v>294.51</v>
      </c>
      <c r="G202" s="20" t="str">
        <f>Source!DG140</f>
        <v>)*4</v>
      </c>
      <c r="H202" s="9">
        <f>Source!AV140</f>
        <v>1</v>
      </c>
      <c r="I202" s="9">
        <f>IF(Source!BA140&lt;&gt; 0, Source!BA140, 1)</f>
        <v>1</v>
      </c>
      <c r="J202" s="21">
        <f>Source!S140</f>
        <v>2356.08</v>
      </c>
      <c r="K202" s="21"/>
    </row>
    <row r="203" spans="1:22" ht="14.25" x14ac:dyDescent="0.2">
      <c r="A203" s="18"/>
      <c r="B203" s="18"/>
      <c r="C203" s="18" t="s">
        <v>738</v>
      </c>
      <c r="D203" s="19"/>
      <c r="E203" s="9"/>
      <c r="F203" s="21">
        <f>Source!AM140</f>
        <v>195.45</v>
      </c>
      <c r="G203" s="20" t="str">
        <f>Source!DE140</f>
        <v>)*4</v>
      </c>
      <c r="H203" s="9">
        <f>Source!AV140</f>
        <v>1</v>
      </c>
      <c r="I203" s="9">
        <f>IF(Source!BB140&lt;&gt; 0, Source!BB140, 1)</f>
        <v>1</v>
      </c>
      <c r="J203" s="21">
        <f>Source!Q140</f>
        <v>1563.6</v>
      </c>
      <c r="K203" s="21"/>
    </row>
    <row r="204" spans="1:22" ht="14.25" x14ac:dyDescent="0.2">
      <c r="A204" s="18"/>
      <c r="B204" s="18"/>
      <c r="C204" s="18" t="s">
        <v>739</v>
      </c>
      <c r="D204" s="19"/>
      <c r="E204" s="9"/>
      <c r="F204" s="21">
        <f>Source!AN140</f>
        <v>123.93</v>
      </c>
      <c r="G204" s="20" t="str">
        <f>Source!DF140</f>
        <v>)*4</v>
      </c>
      <c r="H204" s="9">
        <f>Source!AV140</f>
        <v>1</v>
      </c>
      <c r="I204" s="9">
        <f>IF(Source!BS140&lt;&gt; 0, Source!BS140, 1)</f>
        <v>1</v>
      </c>
      <c r="J204" s="27">
        <f>Source!R140</f>
        <v>991.44</v>
      </c>
      <c r="K204" s="21"/>
    </row>
    <row r="205" spans="1:22" ht="14.25" x14ac:dyDescent="0.2">
      <c r="A205" s="18"/>
      <c r="B205" s="18"/>
      <c r="C205" s="18" t="s">
        <v>732</v>
      </c>
      <c r="D205" s="19"/>
      <c r="E205" s="9"/>
      <c r="F205" s="21">
        <f>Source!AL140</f>
        <v>0.63</v>
      </c>
      <c r="G205" s="20" t="str">
        <f>Source!DD140</f>
        <v>)*4</v>
      </c>
      <c r="H205" s="9">
        <f>Source!AW140</f>
        <v>1</v>
      </c>
      <c r="I205" s="9">
        <f>IF(Source!BC140&lt;&gt; 0, Source!BC140, 1)</f>
        <v>1</v>
      </c>
      <c r="J205" s="21">
        <f>Source!P140</f>
        <v>5.04</v>
      </c>
      <c r="K205" s="21"/>
    </row>
    <row r="206" spans="1:22" ht="14.25" x14ac:dyDescent="0.2">
      <c r="A206" s="18"/>
      <c r="B206" s="18"/>
      <c r="C206" s="18" t="s">
        <v>733</v>
      </c>
      <c r="D206" s="19" t="s">
        <v>734</v>
      </c>
      <c r="E206" s="9">
        <f>Source!AT140</f>
        <v>70</v>
      </c>
      <c r="F206" s="21"/>
      <c r="G206" s="20"/>
      <c r="H206" s="9"/>
      <c r="I206" s="9"/>
      <c r="J206" s="21">
        <f>SUM(R201:R205)</f>
        <v>1649.26</v>
      </c>
      <c r="K206" s="21"/>
    </row>
    <row r="207" spans="1:22" ht="14.25" x14ac:dyDescent="0.2">
      <c r="A207" s="18"/>
      <c r="B207" s="18"/>
      <c r="C207" s="18" t="s">
        <v>735</v>
      </c>
      <c r="D207" s="19" t="s">
        <v>734</v>
      </c>
      <c r="E207" s="9">
        <f>Source!AU140</f>
        <v>10</v>
      </c>
      <c r="F207" s="21"/>
      <c r="G207" s="20"/>
      <c r="H207" s="9"/>
      <c r="I207" s="9"/>
      <c r="J207" s="21">
        <f>SUM(T201:T206)</f>
        <v>235.61</v>
      </c>
      <c r="K207" s="21"/>
    </row>
    <row r="208" spans="1:22" ht="14.25" x14ac:dyDescent="0.2">
      <c r="A208" s="18"/>
      <c r="B208" s="18"/>
      <c r="C208" s="18" t="s">
        <v>740</v>
      </c>
      <c r="D208" s="19" t="s">
        <v>734</v>
      </c>
      <c r="E208" s="9">
        <f>108</f>
        <v>108</v>
      </c>
      <c r="F208" s="21"/>
      <c r="G208" s="20"/>
      <c r="H208" s="9"/>
      <c r="I208" s="9"/>
      <c r="J208" s="21">
        <f>SUM(V201:V207)</f>
        <v>1070.76</v>
      </c>
      <c r="K208" s="21"/>
    </row>
    <row r="209" spans="1:22" ht="14.25" x14ac:dyDescent="0.2">
      <c r="A209" s="18"/>
      <c r="B209" s="18"/>
      <c r="C209" s="18" t="s">
        <v>736</v>
      </c>
      <c r="D209" s="19" t="s">
        <v>737</v>
      </c>
      <c r="E209" s="9">
        <f>Source!AQ140</f>
        <v>0.42</v>
      </c>
      <c r="F209" s="21"/>
      <c r="G209" s="20" t="str">
        <f>Source!DI140</f>
        <v>)*4</v>
      </c>
      <c r="H209" s="9">
        <f>Source!AV140</f>
        <v>1</v>
      </c>
      <c r="I209" s="9"/>
      <c r="J209" s="21"/>
      <c r="K209" s="21">
        <f>Source!U140</f>
        <v>3.36</v>
      </c>
    </row>
    <row r="210" spans="1:22" ht="15" x14ac:dyDescent="0.25">
      <c r="A210" s="23"/>
      <c r="B210" s="23"/>
      <c r="C210" s="23"/>
      <c r="D210" s="23"/>
      <c r="E210" s="23"/>
      <c r="F210" s="23"/>
      <c r="G210" s="23"/>
      <c r="H210" s="23"/>
      <c r="I210" s="51">
        <f>J202+J203+J205+J206+J207+J208</f>
        <v>6880.3499999999995</v>
      </c>
      <c r="J210" s="51"/>
      <c r="K210" s="24">
        <f>IF(Source!I140&lt;&gt;0, ROUND(I210/Source!I140, 2), 0)</f>
        <v>3440.18</v>
      </c>
      <c r="P210" s="22">
        <f>I210</f>
        <v>6880.3499999999995</v>
      </c>
    </row>
    <row r="211" spans="1:22" ht="28.5" x14ac:dyDescent="0.2">
      <c r="A211" s="18">
        <v>22</v>
      </c>
      <c r="B211" s="18" t="str">
        <f>Source!F141</f>
        <v>1.23-2303-7-2/1</v>
      </c>
      <c r="C211" s="18" t="str">
        <f>Source!G141</f>
        <v>Техническое обслуживание реле давления, напора, тяги</v>
      </c>
      <c r="D211" s="19" t="str">
        <f>Source!H141</f>
        <v>шт.</v>
      </c>
      <c r="E211" s="9">
        <f>Source!I141</f>
        <v>1</v>
      </c>
      <c r="F211" s="21"/>
      <c r="G211" s="20"/>
      <c r="H211" s="9"/>
      <c r="I211" s="9"/>
      <c r="J211" s="21"/>
      <c r="K211" s="21"/>
      <c r="Q211">
        <f>ROUND((Source!BZ141/100)*ROUND((Source!AF141*Source!AV141)*Source!I141, 2), 2)</f>
        <v>377.54</v>
      </c>
      <c r="R211">
        <f>Source!X141</f>
        <v>377.54</v>
      </c>
      <c r="S211">
        <f>ROUND((Source!CA141/100)*ROUND((Source!AF141*Source!AV141)*Source!I141, 2), 2)</f>
        <v>53.93</v>
      </c>
      <c r="T211">
        <f>Source!Y141</f>
        <v>53.93</v>
      </c>
      <c r="U211">
        <f>ROUND((175/100)*ROUND((Source!AE141*Source!AV141)*Source!I141, 2), 2)</f>
        <v>0</v>
      </c>
      <c r="V211">
        <f>ROUND((108/100)*ROUND(Source!CS141*Source!I141, 2), 2)</f>
        <v>0</v>
      </c>
    </row>
    <row r="212" spans="1:22" ht="14.25" x14ac:dyDescent="0.2">
      <c r="A212" s="18"/>
      <c r="B212" s="18"/>
      <c r="C212" s="18" t="s">
        <v>731</v>
      </c>
      <c r="D212" s="19"/>
      <c r="E212" s="9"/>
      <c r="F212" s="21">
        <f>Source!AO141</f>
        <v>269.67</v>
      </c>
      <c r="G212" s="20" t="str">
        <f>Source!DG141</f>
        <v>)*2</v>
      </c>
      <c r="H212" s="9">
        <f>Source!AV141</f>
        <v>1</v>
      </c>
      <c r="I212" s="9">
        <f>IF(Source!BA141&lt;&gt; 0, Source!BA141, 1)</f>
        <v>1</v>
      </c>
      <c r="J212" s="21">
        <f>Source!S141</f>
        <v>539.34</v>
      </c>
      <c r="K212" s="21"/>
    </row>
    <row r="213" spans="1:22" ht="14.25" x14ac:dyDescent="0.2">
      <c r="A213" s="18"/>
      <c r="B213" s="18"/>
      <c r="C213" s="18" t="s">
        <v>732</v>
      </c>
      <c r="D213" s="19"/>
      <c r="E213" s="9"/>
      <c r="F213" s="21">
        <f>Source!AL141</f>
        <v>19.14</v>
      </c>
      <c r="G213" s="20" t="str">
        <f>Source!DD141</f>
        <v>)*2</v>
      </c>
      <c r="H213" s="9">
        <f>Source!AW141</f>
        <v>1</v>
      </c>
      <c r="I213" s="9">
        <f>IF(Source!BC141&lt;&gt; 0, Source!BC141, 1)</f>
        <v>1</v>
      </c>
      <c r="J213" s="21">
        <f>Source!P141</f>
        <v>38.28</v>
      </c>
      <c r="K213" s="21"/>
    </row>
    <row r="214" spans="1:22" ht="14.25" x14ac:dyDescent="0.2">
      <c r="A214" s="18"/>
      <c r="B214" s="18"/>
      <c r="C214" s="18" t="s">
        <v>733</v>
      </c>
      <c r="D214" s="19" t="s">
        <v>734</v>
      </c>
      <c r="E214" s="9">
        <f>Source!AT141</f>
        <v>70</v>
      </c>
      <c r="F214" s="21"/>
      <c r="G214" s="20"/>
      <c r="H214" s="9"/>
      <c r="I214" s="9"/>
      <c r="J214" s="21">
        <f>SUM(R211:R213)</f>
        <v>377.54</v>
      </c>
      <c r="K214" s="21"/>
    </row>
    <row r="215" spans="1:22" ht="14.25" x14ac:dyDescent="0.2">
      <c r="A215" s="18"/>
      <c r="B215" s="18"/>
      <c r="C215" s="18" t="s">
        <v>735</v>
      </c>
      <c r="D215" s="19" t="s">
        <v>734</v>
      </c>
      <c r="E215" s="9">
        <f>Source!AU141</f>
        <v>10</v>
      </c>
      <c r="F215" s="21"/>
      <c r="G215" s="20"/>
      <c r="H215" s="9"/>
      <c r="I215" s="9"/>
      <c r="J215" s="21">
        <f>SUM(T211:T214)</f>
        <v>53.93</v>
      </c>
      <c r="K215" s="21"/>
    </row>
    <row r="216" spans="1:22" ht="14.25" x14ac:dyDescent="0.2">
      <c r="A216" s="18"/>
      <c r="B216" s="18"/>
      <c r="C216" s="18" t="s">
        <v>736</v>
      </c>
      <c r="D216" s="19" t="s">
        <v>737</v>
      </c>
      <c r="E216" s="9">
        <f>Source!AQ141</f>
        <v>0.38</v>
      </c>
      <c r="F216" s="21"/>
      <c r="G216" s="20" t="str">
        <f>Source!DI141</f>
        <v>)*2</v>
      </c>
      <c r="H216" s="9">
        <f>Source!AV141</f>
        <v>1</v>
      </c>
      <c r="I216" s="9"/>
      <c r="J216" s="21"/>
      <c r="K216" s="21">
        <f>Source!U141</f>
        <v>0.76</v>
      </c>
    </row>
    <row r="217" spans="1:22" ht="15" x14ac:dyDescent="0.25">
      <c r="A217" s="23"/>
      <c r="B217" s="23"/>
      <c r="C217" s="23"/>
      <c r="D217" s="23"/>
      <c r="E217" s="23"/>
      <c r="F217" s="23"/>
      <c r="G217" s="23"/>
      <c r="H217" s="23"/>
      <c r="I217" s="51">
        <f>J212+J213+J214+J215</f>
        <v>1009.09</v>
      </c>
      <c r="J217" s="51"/>
      <c r="K217" s="24">
        <f>IF(Source!I141&lt;&gt;0, ROUND(I217/Source!I141, 2), 0)</f>
        <v>1009.09</v>
      </c>
      <c r="P217" s="22">
        <f>I217</f>
        <v>1009.09</v>
      </c>
    </row>
    <row r="218" spans="1:22" ht="42.75" x14ac:dyDescent="0.2">
      <c r="A218" s="18">
        <v>23</v>
      </c>
      <c r="B218" s="18" t="str">
        <f>Source!F142</f>
        <v>1.15-2203-7-1/1</v>
      </c>
      <c r="C218" s="18" t="str">
        <f>Source!G142</f>
        <v>Техническое обслуживание крана шарового латунного никелированного диаметром до 25 мм</v>
      </c>
      <c r="D218" s="19" t="str">
        <f>Source!H142</f>
        <v>10 шт.</v>
      </c>
      <c r="E218" s="9">
        <f>Source!I142</f>
        <v>0.2</v>
      </c>
      <c r="F218" s="21"/>
      <c r="G218" s="20"/>
      <c r="H218" s="9"/>
      <c r="I218" s="9"/>
      <c r="J218" s="21"/>
      <c r="K218" s="21"/>
      <c r="Q218">
        <f>ROUND((Source!BZ142/100)*ROUND((Source!AF142*Source!AV142)*Source!I142, 2), 2)</f>
        <v>38.9</v>
      </c>
      <c r="R218">
        <f>Source!X142</f>
        <v>38.9</v>
      </c>
      <c r="S218">
        <f>ROUND((Source!CA142/100)*ROUND((Source!AF142*Source!AV142)*Source!I142, 2), 2)</f>
        <v>5.56</v>
      </c>
      <c r="T218">
        <f>Source!Y142</f>
        <v>5.56</v>
      </c>
      <c r="U218">
        <f>ROUND((175/100)*ROUND((Source!AE142*Source!AV142)*Source!I142, 2), 2)</f>
        <v>0</v>
      </c>
      <c r="V218">
        <f>ROUND((108/100)*ROUND(Source!CS142*Source!I142, 2), 2)</f>
        <v>0</v>
      </c>
    </row>
    <row r="219" spans="1:22" x14ac:dyDescent="0.2">
      <c r="C219" s="25" t="str">
        <f>"Объем: "&amp;Source!I142&amp;"=2/"&amp;"10"</f>
        <v>Объем: 0,2=2/10</v>
      </c>
    </row>
    <row r="220" spans="1:22" ht="14.25" x14ac:dyDescent="0.2">
      <c r="A220" s="18"/>
      <c r="B220" s="18"/>
      <c r="C220" s="18" t="s">
        <v>731</v>
      </c>
      <c r="D220" s="19"/>
      <c r="E220" s="9"/>
      <c r="F220" s="21">
        <f>Source!AO142</f>
        <v>277.87</v>
      </c>
      <c r="G220" s="20" t="str">
        <f>Source!DG142</f>
        <v/>
      </c>
      <c r="H220" s="9">
        <f>Source!AV142</f>
        <v>1</v>
      </c>
      <c r="I220" s="9">
        <f>IF(Source!BA142&lt;&gt; 0, Source!BA142, 1)</f>
        <v>1</v>
      </c>
      <c r="J220" s="21">
        <f>Source!S142</f>
        <v>55.57</v>
      </c>
      <c r="K220" s="21"/>
    </row>
    <row r="221" spans="1:22" ht="14.25" x14ac:dyDescent="0.2">
      <c r="A221" s="18"/>
      <c r="B221" s="18"/>
      <c r="C221" s="18" t="s">
        <v>733</v>
      </c>
      <c r="D221" s="19" t="s">
        <v>734</v>
      </c>
      <c r="E221" s="9">
        <f>Source!AT142</f>
        <v>70</v>
      </c>
      <c r="F221" s="21"/>
      <c r="G221" s="20"/>
      <c r="H221" s="9"/>
      <c r="I221" s="9"/>
      <c r="J221" s="21">
        <f>SUM(R218:R220)</f>
        <v>38.9</v>
      </c>
      <c r="K221" s="21"/>
    </row>
    <row r="222" spans="1:22" ht="14.25" x14ac:dyDescent="0.2">
      <c r="A222" s="18"/>
      <c r="B222" s="18"/>
      <c r="C222" s="18" t="s">
        <v>735</v>
      </c>
      <c r="D222" s="19" t="s">
        <v>734</v>
      </c>
      <c r="E222" s="9">
        <f>Source!AU142</f>
        <v>10</v>
      </c>
      <c r="F222" s="21"/>
      <c r="G222" s="20"/>
      <c r="H222" s="9"/>
      <c r="I222" s="9"/>
      <c r="J222" s="21">
        <f>SUM(T218:T221)</f>
        <v>5.56</v>
      </c>
      <c r="K222" s="21"/>
    </row>
    <row r="223" spans="1:22" ht="14.25" x14ac:dyDescent="0.2">
      <c r="A223" s="18"/>
      <c r="B223" s="18"/>
      <c r="C223" s="18" t="s">
        <v>736</v>
      </c>
      <c r="D223" s="19" t="s">
        <v>737</v>
      </c>
      <c r="E223" s="9">
        <f>Source!AQ142</f>
        <v>0.45</v>
      </c>
      <c r="F223" s="21"/>
      <c r="G223" s="20" t="str">
        <f>Source!DI142</f>
        <v/>
      </c>
      <c r="H223" s="9">
        <f>Source!AV142</f>
        <v>1</v>
      </c>
      <c r="I223" s="9"/>
      <c r="J223" s="21"/>
      <c r="K223" s="21">
        <f>Source!U142</f>
        <v>9.0000000000000011E-2</v>
      </c>
    </row>
    <row r="224" spans="1:22" ht="15" x14ac:dyDescent="0.25">
      <c r="A224" s="23"/>
      <c r="B224" s="23"/>
      <c r="C224" s="23"/>
      <c r="D224" s="23"/>
      <c r="E224" s="23"/>
      <c r="F224" s="23"/>
      <c r="G224" s="23"/>
      <c r="H224" s="23"/>
      <c r="I224" s="51">
        <f>J220+J221+J222</f>
        <v>100.03</v>
      </c>
      <c r="J224" s="51"/>
      <c r="K224" s="24">
        <f>IF(Source!I142&lt;&gt;0, ROUND(I224/Source!I142, 2), 0)</f>
        <v>500.15</v>
      </c>
      <c r="P224" s="22">
        <f>I224</f>
        <v>100.03</v>
      </c>
    </row>
    <row r="225" spans="1:22" ht="42.75" x14ac:dyDescent="0.2">
      <c r="A225" s="18">
        <v>24</v>
      </c>
      <c r="B225" s="18" t="str">
        <f>Source!F143</f>
        <v>1.23-2103-18-1/1</v>
      </c>
      <c r="C225" s="18" t="str">
        <f>Source!G143</f>
        <v>Техническое обслуживание термометра биметаллического, дилатометрического</v>
      </c>
      <c r="D225" s="19" t="str">
        <f>Source!H143</f>
        <v>шт.</v>
      </c>
      <c r="E225" s="9">
        <f>Source!I143</f>
        <v>3</v>
      </c>
      <c r="F225" s="21"/>
      <c r="G225" s="20"/>
      <c r="H225" s="9"/>
      <c r="I225" s="9"/>
      <c r="J225" s="21"/>
      <c r="K225" s="21"/>
      <c r="Q225">
        <f>ROUND((Source!BZ143/100)*ROUND((Source!AF143*Source!AV143)*Source!I143, 2), 2)</f>
        <v>923.96</v>
      </c>
      <c r="R225">
        <f>Source!X143</f>
        <v>923.96</v>
      </c>
      <c r="S225">
        <f>ROUND((Source!CA143/100)*ROUND((Source!AF143*Source!AV143)*Source!I143, 2), 2)</f>
        <v>131.99</v>
      </c>
      <c r="T225">
        <f>Source!Y143</f>
        <v>131.99</v>
      </c>
      <c r="U225">
        <f>ROUND((175/100)*ROUND((Source!AE143*Source!AV143)*Source!I143, 2), 2)</f>
        <v>0</v>
      </c>
      <c r="V225">
        <f>ROUND((108/100)*ROUND(Source!CS143*Source!I143, 2), 2)</f>
        <v>0</v>
      </c>
    </row>
    <row r="226" spans="1:22" x14ac:dyDescent="0.2">
      <c r="C226" s="25" t="str">
        <f>"Объем: "&amp;Source!I143&amp;"=2+"&amp;"1"</f>
        <v>Объем: 3=2+1</v>
      </c>
    </row>
    <row r="227" spans="1:22" ht="14.25" x14ac:dyDescent="0.2">
      <c r="A227" s="18"/>
      <c r="B227" s="18"/>
      <c r="C227" s="18" t="s">
        <v>731</v>
      </c>
      <c r="D227" s="19"/>
      <c r="E227" s="9"/>
      <c r="F227" s="21">
        <f>Source!AO143</f>
        <v>219.99</v>
      </c>
      <c r="G227" s="20" t="str">
        <f>Source!DG143</f>
        <v>)*2</v>
      </c>
      <c r="H227" s="9">
        <f>Source!AV143</f>
        <v>1</v>
      </c>
      <c r="I227" s="9">
        <f>IF(Source!BA143&lt;&gt; 0, Source!BA143, 1)</f>
        <v>1</v>
      </c>
      <c r="J227" s="21">
        <f>Source!S143</f>
        <v>1319.94</v>
      </c>
      <c r="K227" s="21"/>
    </row>
    <row r="228" spans="1:22" ht="14.25" x14ac:dyDescent="0.2">
      <c r="A228" s="18"/>
      <c r="B228" s="18"/>
      <c r="C228" s="18" t="s">
        <v>732</v>
      </c>
      <c r="D228" s="19"/>
      <c r="E228" s="9"/>
      <c r="F228" s="21">
        <f>Source!AL143</f>
        <v>19.14</v>
      </c>
      <c r="G228" s="20" t="str">
        <f>Source!DD143</f>
        <v>)*2</v>
      </c>
      <c r="H228" s="9">
        <f>Source!AW143</f>
        <v>1</v>
      </c>
      <c r="I228" s="9">
        <f>IF(Source!BC143&lt;&gt; 0, Source!BC143, 1)</f>
        <v>1</v>
      </c>
      <c r="J228" s="21">
        <f>Source!P143</f>
        <v>114.84</v>
      </c>
      <c r="K228" s="21"/>
    </row>
    <row r="229" spans="1:22" ht="14.25" x14ac:dyDescent="0.2">
      <c r="A229" s="18"/>
      <c r="B229" s="18"/>
      <c r="C229" s="18" t="s">
        <v>733</v>
      </c>
      <c r="D229" s="19" t="s">
        <v>734</v>
      </c>
      <c r="E229" s="9">
        <f>Source!AT143</f>
        <v>70</v>
      </c>
      <c r="F229" s="21"/>
      <c r="G229" s="20"/>
      <c r="H229" s="9"/>
      <c r="I229" s="9"/>
      <c r="J229" s="21">
        <f>SUM(R225:R228)</f>
        <v>923.96</v>
      </c>
      <c r="K229" s="21"/>
    </row>
    <row r="230" spans="1:22" ht="14.25" x14ac:dyDescent="0.2">
      <c r="A230" s="18"/>
      <c r="B230" s="18"/>
      <c r="C230" s="18" t="s">
        <v>735</v>
      </c>
      <c r="D230" s="19" t="s">
        <v>734</v>
      </c>
      <c r="E230" s="9">
        <f>Source!AU143</f>
        <v>10</v>
      </c>
      <c r="F230" s="21"/>
      <c r="G230" s="20"/>
      <c r="H230" s="9"/>
      <c r="I230" s="9"/>
      <c r="J230" s="21">
        <f>SUM(T225:T229)</f>
        <v>131.99</v>
      </c>
      <c r="K230" s="21"/>
    </row>
    <row r="231" spans="1:22" ht="14.25" x14ac:dyDescent="0.2">
      <c r="A231" s="18"/>
      <c r="B231" s="18"/>
      <c r="C231" s="18" t="s">
        <v>736</v>
      </c>
      <c r="D231" s="19" t="s">
        <v>737</v>
      </c>
      <c r="E231" s="9">
        <f>Source!AQ143</f>
        <v>0.31</v>
      </c>
      <c r="F231" s="21"/>
      <c r="G231" s="20" t="str">
        <f>Source!DI143</f>
        <v>)*2</v>
      </c>
      <c r="H231" s="9">
        <f>Source!AV143</f>
        <v>1</v>
      </c>
      <c r="I231" s="9"/>
      <c r="J231" s="21"/>
      <c r="K231" s="21">
        <f>Source!U143</f>
        <v>1.8599999999999999</v>
      </c>
    </row>
    <row r="232" spans="1:22" ht="15" x14ac:dyDescent="0.25">
      <c r="A232" s="23"/>
      <c r="B232" s="23"/>
      <c r="C232" s="23"/>
      <c r="D232" s="23"/>
      <c r="E232" s="23"/>
      <c r="F232" s="23"/>
      <c r="G232" s="23"/>
      <c r="H232" s="23"/>
      <c r="I232" s="51">
        <f>J227+J228+J229+J230</f>
        <v>2490.7299999999996</v>
      </c>
      <c r="J232" s="51"/>
      <c r="K232" s="24">
        <f>IF(Source!I143&lt;&gt;0, ROUND(I232/Source!I143, 2), 0)</f>
        <v>830.24</v>
      </c>
      <c r="P232" s="22">
        <f>I232</f>
        <v>2490.7299999999996</v>
      </c>
    </row>
    <row r="233" spans="1:22" ht="42.75" x14ac:dyDescent="0.2">
      <c r="A233" s="18">
        <v>25</v>
      </c>
      <c r="B233" s="18" t="str">
        <f>Source!F144</f>
        <v>1.15-2203-7-3/1</v>
      </c>
      <c r="C233" s="18" t="str">
        <f>Source!G144</f>
        <v>Техническое обслуживание крана шарового латунного никелированного диаметром до 100 мм</v>
      </c>
      <c r="D233" s="19" t="str">
        <f>Source!H144</f>
        <v>10 шт.</v>
      </c>
      <c r="E233" s="9">
        <f>Source!I144</f>
        <v>0.2</v>
      </c>
      <c r="F233" s="21"/>
      <c r="G233" s="20"/>
      <c r="H233" s="9"/>
      <c r="I233" s="9"/>
      <c r="J233" s="21"/>
      <c r="K233" s="21"/>
      <c r="Q233">
        <f>ROUND((Source!BZ144/100)*ROUND((Source!AF144*Source!AV144)*Source!I144, 2), 2)</f>
        <v>79.53</v>
      </c>
      <c r="R233">
        <f>Source!X144</f>
        <v>79.53</v>
      </c>
      <c r="S233">
        <f>ROUND((Source!CA144/100)*ROUND((Source!AF144*Source!AV144)*Source!I144, 2), 2)</f>
        <v>11.36</v>
      </c>
      <c r="T233">
        <f>Source!Y144</f>
        <v>11.36</v>
      </c>
      <c r="U233">
        <f>ROUND((175/100)*ROUND((Source!AE144*Source!AV144)*Source!I144, 2), 2)</f>
        <v>0</v>
      </c>
      <c r="V233">
        <f>ROUND((108/100)*ROUND(Source!CS144*Source!I144, 2), 2)</f>
        <v>0</v>
      </c>
    </row>
    <row r="234" spans="1:22" x14ac:dyDescent="0.2">
      <c r="C234" s="25" t="str">
        <f>"Объем: "&amp;Source!I144&amp;"=2/"&amp;"10"</f>
        <v>Объем: 0,2=2/10</v>
      </c>
    </row>
    <row r="235" spans="1:22" ht="14.25" x14ac:dyDescent="0.2">
      <c r="A235" s="18"/>
      <c r="B235" s="18"/>
      <c r="C235" s="18" t="s">
        <v>731</v>
      </c>
      <c r="D235" s="19"/>
      <c r="E235" s="9"/>
      <c r="F235" s="21">
        <f>Source!AO144</f>
        <v>568.09</v>
      </c>
      <c r="G235" s="20" t="str">
        <f>Source!DG144</f>
        <v/>
      </c>
      <c r="H235" s="9">
        <f>Source!AV144</f>
        <v>1</v>
      </c>
      <c r="I235" s="9">
        <f>IF(Source!BA144&lt;&gt; 0, Source!BA144, 1)</f>
        <v>1</v>
      </c>
      <c r="J235" s="21">
        <f>Source!S144</f>
        <v>113.62</v>
      </c>
      <c r="K235" s="21"/>
    </row>
    <row r="236" spans="1:22" ht="14.25" x14ac:dyDescent="0.2">
      <c r="A236" s="18"/>
      <c r="B236" s="18"/>
      <c r="C236" s="18" t="s">
        <v>733</v>
      </c>
      <c r="D236" s="19" t="s">
        <v>734</v>
      </c>
      <c r="E236" s="9">
        <f>Source!AT144</f>
        <v>70</v>
      </c>
      <c r="F236" s="21"/>
      <c r="G236" s="20"/>
      <c r="H236" s="9"/>
      <c r="I236" s="9"/>
      <c r="J236" s="21">
        <f>SUM(R233:R235)</f>
        <v>79.53</v>
      </c>
      <c r="K236" s="21"/>
    </row>
    <row r="237" spans="1:22" ht="14.25" x14ac:dyDescent="0.2">
      <c r="A237" s="18"/>
      <c r="B237" s="18"/>
      <c r="C237" s="18" t="s">
        <v>735</v>
      </c>
      <c r="D237" s="19" t="s">
        <v>734</v>
      </c>
      <c r="E237" s="9">
        <f>Source!AU144</f>
        <v>10</v>
      </c>
      <c r="F237" s="21"/>
      <c r="G237" s="20"/>
      <c r="H237" s="9"/>
      <c r="I237" s="9"/>
      <c r="J237" s="21">
        <f>SUM(T233:T236)</f>
        <v>11.36</v>
      </c>
      <c r="K237" s="21"/>
    </row>
    <row r="238" spans="1:22" ht="14.25" x14ac:dyDescent="0.2">
      <c r="A238" s="18"/>
      <c r="B238" s="18"/>
      <c r="C238" s="18" t="s">
        <v>736</v>
      </c>
      <c r="D238" s="19" t="s">
        <v>737</v>
      </c>
      <c r="E238" s="9">
        <f>Source!AQ144</f>
        <v>0.92</v>
      </c>
      <c r="F238" s="21"/>
      <c r="G238" s="20" t="str">
        <f>Source!DI144</f>
        <v/>
      </c>
      <c r="H238" s="9">
        <f>Source!AV144</f>
        <v>1</v>
      </c>
      <c r="I238" s="9"/>
      <c r="J238" s="21"/>
      <c r="K238" s="21">
        <f>Source!U144</f>
        <v>0.18400000000000002</v>
      </c>
    </row>
    <row r="239" spans="1:22" ht="15" x14ac:dyDescent="0.25">
      <c r="A239" s="23"/>
      <c r="B239" s="23"/>
      <c r="C239" s="23"/>
      <c r="D239" s="23"/>
      <c r="E239" s="23"/>
      <c r="F239" s="23"/>
      <c r="G239" s="23"/>
      <c r="H239" s="23"/>
      <c r="I239" s="51">
        <f>J235+J236+J237</f>
        <v>204.51</v>
      </c>
      <c r="J239" s="51"/>
      <c r="K239" s="24">
        <f>IF(Source!I144&lt;&gt;0, ROUND(I239/Source!I144, 2), 0)</f>
        <v>1022.55</v>
      </c>
      <c r="P239" s="22">
        <f>I239</f>
        <v>204.51</v>
      </c>
    </row>
    <row r="240" spans="1:22" ht="42.75" x14ac:dyDescent="0.2">
      <c r="A240" s="18">
        <v>26</v>
      </c>
      <c r="B240" s="18" t="str">
        <f>Source!F145</f>
        <v>1.15-2303-5-1/1</v>
      </c>
      <c r="C240" s="18" t="str">
        <f>Source!G145</f>
        <v>Техническое обслуживание фильтров водяных фланцевых сетчатых диаметром до 65 мм</v>
      </c>
      <c r="D240" s="19" t="str">
        <f>Source!H145</f>
        <v>10 шт.</v>
      </c>
      <c r="E240" s="9">
        <f>Source!I145</f>
        <v>0.1</v>
      </c>
      <c r="F240" s="21"/>
      <c r="G240" s="20"/>
      <c r="H240" s="9"/>
      <c r="I240" s="9"/>
      <c r="J240" s="21"/>
      <c r="K240" s="21"/>
      <c r="Q240">
        <f>ROUND((Source!BZ145/100)*ROUND((Source!AF145*Source!AV145)*Source!I145, 2), 2)</f>
        <v>141.66999999999999</v>
      </c>
      <c r="R240">
        <f>Source!X145</f>
        <v>141.66999999999999</v>
      </c>
      <c r="S240">
        <f>ROUND((Source!CA145/100)*ROUND((Source!AF145*Source!AV145)*Source!I145, 2), 2)</f>
        <v>20.239999999999998</v>
      </c>
      <c r="T240">
        <f>Source!Y145</f>
        <v>20.239999999999998</v>
      </c>
      <c r="U240">
        <f>ROUND((175/100)*ROUND((Source!AE145*Source!AV145)*Source!I145, 2), 2)</f>
        <v>0</v>
      </c>
      <c r="V240">
        <f>ROUND((108/100)*ROUND(Source!CS145*Source!I145, 2), 2)</f>
        <v>0</v>
      </c>
    </row>
    <row r="241" spans="1:22" x14ac:dyDescent="0.2">
      <c r="C241" s="25" t="str">
        <f>"Объем: "&amp;Source!I145&amp;"=1/"&amp;"10"</f>
        <v>Объем: 0,1=1/10</v>
      </c>
    </row>
    <row r="242" spans="1:22" ht="14.25" x14ac:dyDescent="0.2">
      <c r="A242" s="18"/>
      <c r="B242" s="18"/>
      <c r="C242" s="18" t="s">
        <v>731</v>
      </c>
      <c r="D242" s="19"/>
      <c r="E242" s="9"/>
      <c r="F242" s="21">
        <f>Source!AO145</f>
        <v>2023.81</v>
      </c>
      <c r="G242" s="20" t="str">
        <f>Source!DG145</f>
        <v/>
      </c>
      <c r="H242" s="9">
        <f>Source!AV145</f>
        <v>1</v>
      </c>
      <c r="I242" s="9">
        <f>IF(Source!BA145&lt;&gt; 0, Source!BA145, 1)</f>
        <v>1</v>
      </c>
      <c r="J242" s="21">
        <f>Source!S145</f>
        <v>202.38</v>
      </c>
      <c r="K242" s="21"/>
    </row>
    <row r="243" spans="1:22" ht="14.25" x14ac:dyDescent="0.2">
      <c r="A243" s="18"/>
      <c r="B243" s="18"/>
      <c r="C243" s="18" t="s">
        <v>732</v>
      </c>
      <c r="D243" s="19"/>
      <c r="E243" s="9"/>
      <c r="F243" s="21">
        <f>Source!AL145</f>
        <v>0.38</v>
      </c>
      <c r="G243" s="20" t="str">
        <f>Source!DD145</f>
        <v/>
      </c>
      <c r="H243" s="9">
        <f>Source!AW145</f>
        <v>1</v>
      </c>
      <c r="I243" s="9">
        <f>IF(Source!BC145&lt;&gt; 0, Source!BC145, 1)</f>
        <v>1</v>
      </c>
      <c r="J243" s="21">
        <f>Source!P145</f>
        <v>0.04</v>
      </c>
      <c r="K243" s="21"/>
    </row>
    <row r="244" spans="1:22" ht="57" x14ac:dyDescent="0.2">
      <c r="A244" s="18" t="s">
        <v>215</v>
      </c>
      <c r="B244" s="18" t="str">
        <f>Source!F146</f>
        <v>21.26-1-110</v>
      </c>
      <c r="C244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D244" s="19" t="str">
        <f>Source!H146</f>
        <v>шт.</v>
      </c>
      <c r="E244" s="9">
        <f>Source!I146</f>
        <v>4</v>
      </c>
      <c r="F244" s="21">
        <f>Source!AK146</f>
        <v>207.47</v>
      </c>
      <c r="G244" s="28" t="s">
        <v>3</v>
      </c>
      <c r="H244" s="9">
        <f>Source!AW146</f>
        <v>1</v>
      </c>
      <c r="I244" s="9">
        <f>IF(Source!BC146&lt;&gt; 0, Source!BC146, 1)</f>
        <v>1</v>
      </c>
      <c r="J244" s="21">
        <f>Source!O146</f>
        <v>829.88</v>
      </c>
      <c r="K244" s="21"/>
      <c r="Q244">
        <f>ROUND((Source!BZ146/100)*ROUND((Source!AF146*Source!AV146)*Source!I146, 2), 2)</f>
        <v>0</v>
      </c>
      <c r="R244">
        <f>Source!X146</f>
        <v>0</v>
      </c>
      <c r="S244">
        <f>ROUND((Source!CA146/100)*ROUND((Source!AF146*Source!AV146)*Source!I146, 2), 2)</f>
        <v>0</v>
      </c>
      <c r="T244">
        <f>Source!Y146</f>
        <v>0</v>
      </c>
      <c r="U244">
        <f>ROUND((175/100)*ROUND((Source!AE146*Source!AV146)*Source!I146, 2), 2)</f>
        <v>0</v>
      </c>
      <c r="V244">
        <f>ROUND((108/100)*ROUND(Source!CS146*Source!I146, 2), 2)</f>
        <v>0</v>
      </c>
    </row>
    <row r="245" spans="1:22" ht="14.25" x14ac:dyDescent="0.2">
      <c r="A245" s="18"/>
      <c r="B245" s="18"/>
      <c r="C245" s="18" t="s">
        <v>733</v>
      </c>
      <c r="D245" s="19" t="s">
        <v>734</v>
      </c>
      <c r="E245" s="9">
        <f>Source!AT145</f>
        <v>70</v>
      </c>
      <c r="F245" s="21"/>
      <c r="G245" s="20"/>
      <c r="H245" s="9"/>
      <c r="I245" s="9"/>
      <c r="J245" s="21">
        <f>SUM(R240:R244)</f>
        <v>141.66999999999999</v>
      </c>
      <c r="K245" s="21"/>
    </row>
    <row r="246" spans="1:22" ht="14.25" x14ac:dyDescent="0.2">
      <c r="A246" s="18"/>
      <c r="B246" s="18"/>
      <c r="C246" s="18" t="s">
        <v>735</v>
      </c>
      <c r="D246" s="19" t="s">
        <v>734</v>
      </c>
      <c r="E246" s="9">
        <f>Source!AU145</f>
        <v>10</v>
      </c>
      <c r="F246" s="21"/>
      <c r="G246" s="20"/>
      <c r="H246" s="9"/>
      <c r="I246" s="9"/>
      <c r="J246" s="21">
        <f>SUM(T240:T245)</f>
        <v>20.239999999999998</v>
      </c>
      <c r="K246" s="21"/>
    </row>
    <row r="247" spans="1:22" ht="14.25" x14ac:dyDescent="0.2">
      <c r="A247" s="18"/>
      <c r="B247" s="18"/>
      <c r="C247" s="18" t="s">
        <v>736</v>
      </c>
      <c r="D247" s="19" t="s">
        <v>737</v>
      </c>
      <c r="E247" s="9">
        <f>Source!AQ145</f>
        <v>3.6</v>
      </c>
      <c r="F247" s="21"/>
      <c r="G247" s="20" t="str">
        <f>Source!DI145</f>
        <v/>
      </c>
      <c r="H247" s="9">
        <f>Source!AV145</f>
        <v>1</v>
      </c>
      <c r="I247" s="9"/>
      <c r="J247" s="21"/>
      <c r="K247" s="21">
        <f>Source!U145</f>
        <v>0.36000000000000004</v>
      </c>
    </row>
    <row r="248" spans="1:22" ht="15" x14ac:dyDescent="0.25">
      <c r="A248" s="23"/>
      <c r="B248" s="23"/>
      <c r="C248" s="23"/>
      <c r="D248" s="23"/>
      <c r="E248" s="23"/>
      <c r="F248" s="23"/>
      <c r="G248" s="23"/>
      <c r="H248" s="23"/>
      <c r="I248" s="51">
        <f>J242+J243+J245+J246+SUM(J244:J244)</f>
        <v>1194.21</v>
      </c>
      <c r="J248" s="51"/>
      <c r="K248" s="24">
        <f>IF(Source!I145&lt;&gt;0, ROUND(I248/Source!I145, 2), 0)</f>
        <v>11942.1</v>
      </c>
      <c r="P248" s="22">
        <f>I248</f>
        <v>1194.21</v>
      </c>
    </row>
    <row r="250" spans="1:22" ht="15" customHeight="1" x14ac:dyDescent="0.25">
      <c r="B250" s="52" t="str">
        <f>Source!G147</f>
        <v>Стандартный насосный узел смешения серии АУУ-С-080-100-C-R V2</v>
      </c>
      <c r="C250" s="52"/>
      <c r="D250" s="52"/>
      <c r="E250" s="52"/>
      <c r="F250" s="52"/>
      <c r="G250" s="52"/>
      <c r="H250" s="52"/>
      <c r="I250" s="52"/>
      <c r="J250" s="52"/>
    </row>
    <row r="251" spans="1:22" ht="42.75" x14ac:dyDescent="0.2">
      <c r="A251" s="18">
        <v>27</v>
      </c>
      <c r="B251" s="18" t="str">
        <f>Source!F151</f>
        <v>1.23-2103-41-1/1</v>
      </c>
      <c r="C251" s="18" t="str">
        <f>Source!G151</f>
        <v>Техническое обслуживание регулирующего клапана / Регулирующий клапан  Данфосс</v>
      </c>
      <c r="D251" s="19" t="str">
        <f>Source!H151</f>
        <v>шт.</v>
      </c>
      <c r="E251" s="9">
        <f>Source!I151</f>
        <v>1</v>
      </c>
      <c r="F251" s="21"/>
      <c r="G251" s="20"/>
      <c r="H251" s="9"/>
      <c r="I251" s="9"/>
      <c r="J251" s="21"/>
      <c r="K251" s="21"/>
      <c r="Q251">
        <f>ROUND((Source!BZ151/100)*ROUND((Source!AF151*Source!AV151)*Source!I151, 2), 2)</f>
        <v>291.2</v>
      </c>
      <c r="R251">
        <f>Source!X151</f>
        <v>291.2</v>
      </c>
      <c r="S251">
        <f>ROUND((Source!CA151/100)*ROUND((Source!AF151*Source!AV151)*Source!I151, 2), 2)</f>
        <v>41.6</v>
      </c>
      <c r="T251">
        <f>Source!Y151</f>
        <v>41.6</v>
      </c>
      <c r="U251">
        <f>ROUND((175/100)*ROUND((Source!AE151*Source!AV151)*Source!I151, 2), 2)</f>
        <v>173.5</v>
      </c>
      <c r="V251">
        <f>ROUND((108/100)*ROUND(Source!CS151*Source!I151, 2), 2)</f>
        <v>107.07</v>
      </c>
    </row>
    <row r="252" spans="1:22" ht="14.25" x14ac:dyDescent="0.2">
      <c r="A252" s="18"/>
      <c r="B252" s="18"/>
      <c r="C252" s="18" t="s">
        <v>731</v>
      </c>
      <c r="D252" s="19"/>
      <c r="E252" s="9"/>
      <c r="F252" s="21">
        <f>Source!AO151</f>
        <v>208</v>
      </c>
      <c r="G252" s="20" t="str">
        <f>Source!DG151</f>
        <v>)*2</v>
      </c>
      <c r="H252" s="9">
        <f>Source!AV151</f>
        <v>1</v>
      </c>
      <c r="I252" s="9">
        <f>IF(Source!BA151&lt;&gt; 0, Source!BA151, 1)</f>
        <v>1</v>
      </c>
      <c r="J252" s="21">
        <f>Source!S151</f>
        <v>416</v>
      </c>
      <c r="K252" s="21"/>
    </row>
    <row r="253" spans="1:22" ht="14.25" x14ac:dyDescent="0.2">
      <c r="A253" s="18"/>
      <c r="B253" s="18"/>
      <c r="C253" s="18" t="s">
        <v>738</v>
      </c>
      <c r="D253" s="19"/>
      <c r="E253" s="9"/>
      <c r="F253" s="21">
        <f>Source!AM151</f>
        <v>78.180000000000007</v>
      </c>
      <c r="G253" s="20" t="str">
        <f>Source!DE151</f>
        <v>)*2</v>
      </c>
      <c r="H253" s="9">
        <f>Source!AV151</f>
        <v>1</v>
      </c>
      <c r="I253" s="9">
        <f>IF(Source!BB151&lt;&gt; 0, Source!BB151, 1)</f>
        <v>1</v>
      </c>
      <c r="J253" s="21">
        <f>Source!Q151</f>
        <v>156.36000000000001</v>
      </c>
      <c r="K253" s="21"/>
    </row>
    <row r="254" spans="1:22" ht="14.25" x14ac:dyDescent="0.2">
      <c r="A254" s="18"/>
      <c r="B254" s="18"/>
      <c r="C254" s="18" t="s">
        <v>739</v>
      </c>
      <c r="D254" s="19"/>
      <c r="E254" s="9"/>
      <c r="F254" s="21">
        <f>Source!AN151</f>
        <v>49.57</v>
      </c>
      <c r="G254" s="20" t="str">
        <f>Source!DF151</f>
        <v>)*2</v>
      </c>
      <c r="H254" s="9">
        <f>Source!AV151</f>
        <v>1</v>
      </c>
      <c r="I254" s="9">
        <f>IF(Source!BS151&lt;&gt; 0, Source!BS151, 1)</f>
        <v>1</v>
      </c>
      <c r="J254" s="27">
        <f>Source!R151</f>
        <v>99.14</v>
      </c>
      <c r="K254" s="21"/>
    </row>
    <row r="255" spans="1:22" ht="14.25" x14ac:dyDescent="0.2">
      <c r="A255" s="18"/>
      <c r="B255" s="18"/>
      <c r="C255" s="18" t="s">
        <v>733</v>
      </c>
      <c r="D255" s="19" t="s">
        <v>734</v>
      </c>
      <c r="E255" s="9">
        <f>Source!AT151</f>
        <v>70</v>
      </c>
      <c r="F255" s="21"/>
      <c r="G255" s="20"/>
      <c r="H255" s="9"/>
      <c r="I255" s="9"/>
      <c r="J255" s="21">
        <f>SUM(R251:R254)</f>
        <v>291.2</v>
      </c>
      <c r="K255" s="21"/>
    </row>
    <row r="256" spans="1:22" ht="14.25" x14ac:dyDescent="0.2">
      <c r="A256" s="18"/>
      <c r="B256" s="18"/>
      <c r="C256" s="18" t="s">
        <v>735</v>
      </c>
      <c r="D256" s="19" t="s">
        <v>734</v>
      </c>
      <c r="E256" s="9">
        <f>Source!AU151</f>
        <v>10</v>
      </c>
      <c r="F256" s="21"/>
      <c r="G256" s="20"/>
      <c r="H256" s="9"/>
      <c r="I256" s="9"/>
      <c r="J256" s="21">
        <f>SUM(T251:T255)</f>
        <v>41.6</v>
      </c>
      <c r="K256" s="21"/>
    </row>
    <row r="257" spans="1:22" ht="14.25" x14ac:dyDescent="0.2">
      <c r="A257" s="18"/>
      <c r="B257" s="18"/>
      <c r="C257" s="18" t="s">
        <v>740</v>
      </c>
      <c r="D257" s="19" t="s">
        <v>734</v>
      </c>
      <c r="E257" s="9">
        <f>108</f>
        <v>108</v>
      </c>
      <c r="F257" s="21"/>
      <c r="G257" s="20"/>
      <c r="H257" s="9"/>
      <c r="I257" s="9"/>
      <c r="J257" s="21">
        <f>SUM(V251:V256)</f>
        <v>107.07</v>
      </c>
      <c r="K257" s="21"/>
    </row>
    <row r="258" spans="1:22" ht="14.25" x14ac:dyDescent="0.2">
      <c r="A258" s="18"/>
      <c r="B258" s="18"/>
      <c r="C258" s="18" t="s">
        <v>736</v>
      </c>
      <c r="D258" s="19" t="s">
        <v>737</v>
      </c>
      <c r="E258" s="9">
        <f>Source!AQ151</f>
        <v>0.37</v>
      </c>
      <c r="F258" s="21"/>
      <c r="G258" s="20" t="str">
        <f>Source!DI151</f>
        <v>)*2</v>
      </c>
      <c r="H258" s="9">
        <f>Source!AV151</f>
        <v>1</v>
      </c>
      <c r="I258" s="9"/>
      <c r="J258" s="21"/>
      <c r="K258" s="21">
        <f>Source!U151</f>
        <v>0.74</v>
      </c>
    </row>
    <row r="259" spans="1:22" ht="15" x14ac:dyDescent="0.25">
      <c r="A259" s="23"/>
      <c r="B259" s="23"/>
      <c r="C259" s="23"/>
      <c r="D259" s="23"/>
      <c r="E259" s="23"/>
      <c r="F259" s="23"/>
      <c r="G259" s="23"/>
      <c r="H259" s="23"/>
      <c r="I259" s="51">
        <f>J252+J253+J255+J256+J257</f>
        <v>1012.23</v>
      </c>
      <c r="J259" s="51"/>
      <c r="K259" s="24">
        <f>IF(Source!I151&lt;&gt;0, ROUND(I259/Source!I151, 2), 0)</f>
        <v>1012.23</v>
      </c>
      <c r="P259" s="22">
        <f>I259</f>
        <v>1012.23</v>
      </c>
    </row>
    <row r="260" spans="1:22" ht="57" x14ac:dyDescent="0.2">
      <c r="A260" s="18">
        <v>28</v>
      </c>
      <c r="B260" s="18" t="str">
        <f>Source!F152</f>
        <v>1.23-2303-4-4/1</v>
      </c>
      <c r="C260" s="18" t="str">
        <f>Source!G152</f>
        <v>Техническое обслуживание средств автоматизации, механизмы электрические однооборотные МЭО, ИМ</v>
      </c>
      <c r="D260" s="19" t="str">
        <f>Source!H152</f>
        <v>шт.</v>
      </c>
      <c r="E260" s="9">
        <f>Source!I152</f>
        <v>1</v>
      </c>
      <c r="F260" s="21"/>
      <c r="G260" s="20"/>
      <c r="H260" s="9"/>
      <c r="I260" s="9"/>
      <c r="J260" s="21"/>
      <c r="K260" s="21"/>
      <c r="Q260">
        <f>ROUND((Source!BZ152/100)*ROUND((Source!AF152*Source!AV152)*Source!I152, 2), 2)</f>
        <v>1881.24</v>
      </c>
      <c r="R260">
        <f>Source!X152</f>
        <v>1881.24</v>
      </c>
      <c r="S260">
        <f>ROUND((Source!CA152/100)*ROUND((Source!AF152*Source!AV152)*Source!I152, 2), 2)</f>
        <v>268.75</v>
      </c>
      <c r="T260">
        <f>Source!Y152</f>
        <v>268.75</v>
      </c>
      <c r="U260">
        <f>ROUND((175/100)*ROUND((Source!AE152*Source!AV152)*Source!I152, 2), 2)</f>
        <v>0</v>
      </c>
      <c r="V260">
        <f>ROUND((108/100)*ROUND(Source!CS152*Source!I152, 2), 2)</f>
        <v>0</v>
      </c>
    </row>
    <row r="261" spans="1:22" ht="14.25" x14ac:dyDescent="0.2">
      <c r="A261" s="18"/>
      <c r="B261" s="18"/>
      <c r="C261" s="18" t="s">
        <v>731</v>
      </c>
      <c r="D261" s="19"/>
      <c r="E261" s="9"/>
      <c r="F261" s="21">
        <f>Source!AO152</f>
        <v>1343.74</v>
      </c>
      <c r="G261" s="20" t="str">
        <f>Source!DG152</f>
        <v>)*2</v>
      </c>
      <c r="H261" s="9">
        <f>Source!AV152</f>
        <v>1</v>
      </c>
      <c r="I261" s="9">
        <f>IF(Source!BA152&lt;&gt; 0, Source!BA152, 1)</f>
        <v>1</v>
      </c>
      <c r="J261" s="21">
        <f>Source!S152</f>
        <v>2687.48</v>
      </c>
      <c r="K261" s="21"/>
    </row>
    <row r="262" spans="1:22" ht="14.25" x14ac:dyDescent="0.2">
      <c r="A262" s="18"/>
      <c r="B262" s="18"/>
      <c r="C262" s="18" t="s">
        <v>733</v>
      </c>
      <c r="D262" s="19" t="s">
        <v>734</v>
      </c>
      <c r="E262" s="9">
        <f>Source!AT152</f>
        <v>70</v>
      </c>
      <c r="F262" s="21"/>
      <c r="G262" s="20"/>
      <c r="H262" s="9"/>
      <c r="I262" s="9"/>
      <c r="J262" s="21">
        <f>SUM(R260:R261)</f>
        <v>1881.24</v>
      </c>
      <c r="K262" s="21"/>
    </row>
    <row r="263" spans="1:22" ht="14.25" x14ac:dyDescent="0.2">
      <c r="A263" s="18"/>
      <c r="B263" s="18"/>
      <c r="C263" s="18" t="s">
        <v>735</v>
      </c>
      <c r="D263" s="19" t="s">
        <v>734</v>
      </c>
      <c r="E263" s="9">
        <f>Source!AU152</f>
        <v>10</v>
      </c>
      <c r="F263" s="21"/>
      <c r="G263" s="20"/>
      <c r="H263" s="9"/>
      <c r="I263" s="9"/>
      <c r="J263" s="21">
        <f>SUM(T260:T262)</f>
        <v>268.75</v>
      </c>
      <c r="K263" s="21"/>
    </row>
    <row r="264" spans="1:22" ht="14.25" x14ac:dyDescent="0.2">
      <c r="A264" s="18"/>
      <c r="B264" s="18"/>
      <c r="C264" s="18" t="s">
        <v>736</v>
      </c>
      <c r="D264" s="19" t="s">
        <v>737</v>
      </c>
      <c r="E264" s="9">
        <f>Source!AQ152</f>
        <v>1.62</v>
      </c>
      <c r="F264" s="21"/>
      <c r="G264" s="20" t="str">
        <f>Source!DI152</f>
        <v>)*2</v>
      </c>
      <c r="H264" s="9">
        <f>Source!AV152</f>
        <v>1</v>
      </c>
      <c r="I264" s="9"/>
      <c r="J264" s="21"/>
      <c r="K264" s="21">
        <f>Source!U152</f>
        <v>3.24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51">
        <f>J261+J262+J263</f>
        <v>4837.47</v>
      </c>
      <c r="J265" s="51"/>
      <c r="K265" s="24">
        <f>IF(Source!I152&lt;&gt;0, ROUND(I265/Source!I152, 2), 0)</f>
        <v>4837.47</v>
      </c>
      <c r="P265" s="22">
        <f>I265</f>
        <v>4837.47</v>
      </c>
    </row>
    <row r="266" spans="1:22" ht="42.75" x14ac:dyDescent="0.2">
      <c r="A266" s="18">
        <v>29</v>
      </c>
      <c r="B266" s="18" t="str">
        <f>Source!F153</f>
        <v>1.15-2203-9-2/1</v>
      </c>
      <c r="C266" s="18" t="str">
        <f>Source!G153</f>
        <v>Техническое обслуживание клапанов обратных фланцевых диаметром 100-150 мм</v>
      </c>
      <c r="D266" s="19" t="str">
        <f>Source!H153</f>
        <v>шт.</v>
      </c>
      <c r="E266" s="9">
        <f>Source!I153</f>
        <v>3</v>
      </c>
      <c r="F266" s="21"/>
      <c r="G266" s="20"/>
      <c r="H266" s="9"/>
      <c r="I266" s="9"/>
      <c r="J266" s="21"/>
      <c r="K266" s="21"/>
      <c r="Q266">
        <f>ROUND((Source!BZ153/100)*ROUND((Source!AF153*Source!AV153)*Source!I153, 2), 2)</f>
        <v>259.70999999999998</v>
      </c>
      <c r="R266">
        <f>Source!X153</f>
        <v>259.70999999999998</v>
      </c>
      <c r="S266">
        <f>ROUND((Source!CA153/100)*ROUND((Source!AF153*Source!AV153)*Source!I153, 2), 2)</f>
        <v>37.1</v>
      </c>
      <c r="T266">
        <f>Source!Y153</f>
        <v>37.1</v>
      </c>
      <c r="U266">
        <f>ROUND((175/100)*ROUND((Source!AE153*Source!AV153)*Source!I153, 2), 2)</f>
        <v>0</v>
      </c>
      <c r="V266">
        <f>ROUND((108/100)*ROUND(Source!CS153*Source!I153, 2), 2)</f>
        <v>0</v>
      </c>
    </row>
    <row r="267" spans="1:22" x14ac:dyDescent="0.2">
      <c r="C267" s="25" t="str">
        <f>"Объем: "&amp;Source!I153&amp;"=1+"&amp;"2"</f>
        <v>Объем: 3=1+2</v>
      </c>
    </row>
    <row r="268" spans="1:22" ht="14.25" x14ac:dyDescent="0.2">
      <c r="A268" s="18"/>
      <c r="B268" s="18"/>
      <c r="C268" s="18" t="s">
        <v>731</v>
      </c>
      <c r="D268" s="19"/>
      <c r="E268" s="9"/>
      <c r="F268" s="21">
        <f>Source!AO153</f>
        <v>123.67</v>
      </c>
      <c r="G268" s="20" t="str">
        <f>Source!DG153</f>
        <v/>
      </c>
      <c r="H268" s="9">
        <f>Source!AV153</f>
        <v>1</v>
      </c>
      <c r="I268" s="9">
        <f>IF(Source!BA153&lt;&gt; 0, Source!BA153, 1)</f>
        <v>1</v>
      </c>
      <c r="J268" s="21">
        <f>Source!S153</f>
        <v>371.01</v>
      </c>
      <c r="K268" s="21"/>
    </row>
    <row r="269" spans="1:22" ht="14.25" x14ac:dyDescent="0.2">
      <c r="A269" s="18"/>
      <c r="B269" s="18"/>
      <c r="C269" s="18" t="s">
        <v>732</v>
      </c>
      <c r="D269" s="19"/>
      <c r="E269" s="9"/>
      <c r="F269" s="21">
        <f>Source!AL153</f>
        <v>0.63</v>
      </c>
      <c r="G269" s="20" t="str">
        <f>Source!DD153</f>
        <v/>
      </c>
      <c r="H269" s="9">
        <f>Source!AW153</f>
        <v>1</v>
      </c>
      <c r="I269" s="9">
        <f>IF(Source!BC153&lt;&gt; 0, Source!BC153, 1)</f>
        <v>1</v>
      </c>
      <c r="J269" s="21">
        <f>Source!P153</f>
        <v>1.89</v>
      </c>
      <c r="K269" s="21"/>
    </row>
    <row r="270" spans="1:22" ht="14.25" x14ac:dyDescent="0.2">
      <c r="A270" s="18"/>
      <c r="B270" s="18"/>
      <c r="C270" s="18" t="s">
        <v>733</v>
      </c>
      <c r="D270" s="19" t="s">
        <v>734</v>
      </c>
      <c r="E270" s="9">
        <f>Source!AT153</f>
        <v>70</v>
      </c>
      <c r="F270" s="21"/>
      <c r="G270" s="20"/>
      <c r="H270" s="9"/>
      <c r="I270" s="9"/>
      <c r="J270" s="21">
        <f>SUM(R266:R269)</f>
        <v>259.70999999999998</v>
      </c>
      <c r="K270" s="21"/>
    </row>
    <row r="271" spans="1:22" ht="14.25" x14ac:dyDescent="0.2">
      <c r="A271" s="18"/>
      <c r="B271" s="18"/>
      <c r="C271" s="18" t="s">
        <v>735</v>
      </c>
      <c r="D271" s="19" t="s">
        <v>734</v>
      </c>
      <c r="E271" s="9">
        <f>Source!AU153</f>
        <v>10</v>
      </c>
      <c r="F271" s="21"/>
      <c r="G271" s="20"/>
      <c r="H271" s="9"/>
      <c r="I271" s="9"/>
      <c r="J271" s="21">
        <f>SUM(T266:T270)</f>
        <v>37.1</v>
      </c>
      <c r="K271" s="21"/>
    </row>
    <row r="272" spans="1:22" ht="14.25" x14ac:dyDescent="0.2">
      <c r="A272" s="18"/>
      <c r="B272" s="18"/>
      <c r="C272" s="18" t="s">
        <v>736</v>
      </c>
      <c r="D272" s="19" t="s">
        <v>737</v>
      </c>
      <c r="E272" s="9">
        <f>Source!AQ153</f>
        <v>0.22</v>
      </c>
      <c r="F272" s="21"/>
      <c r="G272" s="20" t="str">
        <f>Source!DI153</f>
        <v/>
      </c>
      <c r="H272" s="9">
        <f>Source!AV153</f>
        <v>1</v>
      </c>
      <c r="I272" s="9"/>
      <c r="J272" s="21"/>
      <c r="K272" s="21">
        <f>Source!U153</f>
        <v>0.66</v>
      </c>
    </row>
    <row r="273" spans="1:22" ht="15" x14ac:dyDescent="0.25">
      <c r="A273" s="23"/>
      <c r="B273" s="23"/>
      <c r="C273" s="23"/>
      <c r="D273" s="23"/>
      <c r="E273" s="23"/>
      <c r="F273" s="23"/>
      <c r="G273" s="23"/>
      <c r="H273" s="23"/>
      <c r="I273" s="51">
        <f>J268+J269+J270+J271</f>
        <v>669.70999999999992</v>
      </c>
      <c r="J273" s="51"/>
      <c r="K273" s="24">
        <f>IF(Source!I153&lt;&gt;0, ROUND(I273/Source!I153, 2), 0)</f>
        <v>223.24</v>
      </c>
      <c r="P273" s="22">
        <f>I273</f>
        <v>669.70999999999992</v>
      </c>
    </row>
    <row r="274" spans="1:22" ht="71.25" x14ac:dyDescent="0.2">
      <c r="A274" s="18">
        <v>30</v>
      </c>
      <c r="B274" s="18" t="str">
        <f>Source!F154</f>
        <v>1.23-2103-9-7/1</v>
      </c>
      <c r="C274" s="18" t="str">
        <f>Source!G154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274" s="19" t="str">
        <f>Source!H154</f>
        <v>шт.</v>
      </c>
      <c r="E274" s="9">
        <f>Source!I154</f>
        <v>3</v>
      </c>
      <c r="F274" s="21"/>
      <c r="G274" s="20"/>
      <c r="H274" s="9"/>
      <c r="I274" s="9"/>
      <c r="J274" s="21"/>
      <c r="K274" s="21"/>
      <c r="Q274">
        <f>ROUND((Source!BZ154/100)*ROUND((Source!AF154*Source!AV154)*Source!I154, 2), 2)</f>
        <v>2074.7600000000002</v>
      </c>
      <c r="R274">
        <f>Source!X154</f>
        <v>2074.7600000000002</v>
      </c>
      <c r="S274">
        <f>ROUND((Source!CA154/100)*ROUND((Source!AF154*Source!AV154)*Source!I154, 2), 2)</f>
        <v>296.39</v>
      </c>
      <c r="T274">
        <f>Source!Y154</f>
        <v>296.39</v>
      </c>
      <c r="U274">
        <f>ROUND((175/100)*ROUND((Source!AE154*Source!AV154)*Source!I154, 2), 2)</f>
        <v>0</v>
      </c>
      <c r="V274">
        <f>ROUND((108/100)*ROUND(Source!CS154*Source!I154, 2), 2)</f>
        <v>0</v>
      </c>
    </row>
    <row r="275" spans="1:22" x14ac:dyDescent="0.2">
      <c r="C275" s="25" t="str">
        <f>"Объем: "&amp;Source!I154&amp;"=2+"&amp;"1"</f>
        <v>Объем: 3=2+1</v>
      </c>
    </row>
    <row r="276" spans="1:22" ht="14.25" x14ac:dyDescent="0.2">
      <c r="A276" s="18"/>
      <c r="B276" s="18"/>
      <c r="C276" s="18" t="s">
        <v>731</v>
      </c>
      <c r="D276" s="19"/>
      <c r="E276" s="9"/>
      <c r="F276" s="21">
        <f>Source!AO154</f>
        <v>493.99</v>
      </c>
      <c r="G276" s="20" t="str">
        <f>Source!DG154</f>
        <v>)*2</v>
      </c>
      <c r="H276" s="9">
        <f>Source!AV154</f>
        <v>1</v>
      </c>
      <c r="I276" s="9">
        <f>IF(Source!BA154&lt;&gt; 0, Source!BA154, 1)</f>
        <v>1</v>
      </c>
      <c r="J276" s="21">
        <f>Source!S154</f>
        <v>2963.94</v>
      </c>
      <c r="K276" s="21"/>
    </row>
    <row r="277" spans="1:22" ht="14.25" x14ac:dyDescent="0.2">
      <c r="A277" s="18"/>
      <c r="B277" s="18"/>
      <c r="C277" s="18" t="s">
        <v>733</v>
      </c>
      <c r="D277" s="19" t="s">
        <v>734</v>
      </c>
      <c r="E277" s="9">
        <f>Source!AT154</f>
        <v>70</v>
      </c>
      <c r="F277" s="21"/>
      <c r="G277" s="20"/>
      <c r="H277" s="9"/>
      <c r="I277" s="9"/>
      <c r="J277" s="21">
        <f>SUM(R274:R276)</f>
        <v>2074.7600000000002</v>
      </c>
      <c r="K277" s="21"/>
    </row>
    <row r="278" spans="1:22" ht="14.25" x14ac:dyDescent="0.2">
      <c r="A278" s="18"/>
      <c r="B278" s="18"/>
      <c r="C278" s="18" t="s">
        <v>735</v>
      </c>
      <c r="D278" s="19" t="s">
        <v>734</v>
      </c>
      <c r="E278" s="9">
        <f>Source!AU154</f>
        <v>10</v>
      </c>
      <c r="F278" s="21"/>
      <c r="G278" s="20"/>
      <c r="H278" s="9"/>
      <c r="I278" s="9"/>
      <c r="J278" s="21">
        <f>SUM(T274:T277)</f>
        <v>296.39</v>
      </c>
      <c r="K278" s="21"/>
    </row>
    <row r="279" spans="1:22" ht="14.25" x14ac:dyDescent="0.2">
      <c r="A279" s="18"/>
      <c r="B279" s="18"/>
      <c r="C279" s="18" t="s">
        <v>736</v>
      </c>
      <c r="D279" s="19" t="s">
        <v>737</v>
      </c>
      <c r="E279" s="9">
        <f>Source!AQ154</f>
        <v>0.8</v>
      </c>
      <c r="F279" s="21"/>
      <c r="G279" s="20" t="str">
        <f>Source!DI154</f>
        <v>)*2</v>
      </c>
      <c r="H279" s="9">
        <f>Source!AV154</f>
        <v>1</v>
      </c>
      <c r="I279" s="9"/>
      <c r="J279" s="21"/>
      <c r="K279" s="21">
        <f>Source!U154</f>
        <v>4.8000000000000007</v>
      </c>
    </row>
    <row r="280" spans="1:22" ht="15" x14ac:dyDescent="0.25">
      <c r="A280" s="23"/>
      <c r="B280" s="23"/>
      <c r="C280" s="23"/>
      <c r="D280" s="23"/>
      <c r="E280" s="23"/>
      <c r="F280" s="23"/>
      <c r="G280" s="23"/>
      <c r="H280" s="23"/>
      <c r="I280" s="51">
        <f>J276+J277+J278</f>
        <v>5335.0900000000011</v>
      </c>
      <c r="J280" s="51"/>
      <c r="K280" s="24">
        <f>IF(Source!I154&lt;&gt;0, ROUND(I280/Source!I154, 2), 0)</f>
        <v>1778.36</v>
      </c>
      <c r="P280" s="22">
        <f>I280</f>
        <v>5335.0900000000011</v>
      </c>
    </row>
    <row r="281" spans="1:22" ht="85.5" x14ac:dyDescent="0.2">
      <c r="A281" s="18">
        <v>31</v>
      </c>
      <c r="B281" s="18" t="str">
        <f>Source!F155</f>
        <v>1.15-2203-8-2/1</v>
      </c>
      <c r="C281" s="18" t="str">
        <f>Source!G155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281" s="19" t="str">
        <f>Source!H155</f>
        <v>шт.</v>
      </c>
      <c r="E281" s="9">
        <f>Source!I155</f>
        <v>6</v>
      </c>
      <c r="F281" s="21"/>
      <c r="G281" s="20"/>
      <c r="H281" s="9"/>
      <c r="I281" s="9"/>
      <c r="J281" s="21"/>
      <c r="K281" s="21"/>
      <c r="Q281">
        <f>ROUND((Source!BZ155/100)*ROUND((Source!AF155*Source!AV155)*Source!I155, 2), 2)</f>
        <v>566.66</v>
      </c>
      <c r="R281">
        <f>Source!X155</f>
        <v>566.66</v>
      </c>
      <c r="S281">
        <f>ROUND((Source!CA155/100)*ROUND((Source!AF155*Source!AV155)*Source!I155, 2), 2)</f>
        <v>80.95</v>
      </c>
      <c r="T281">
        <f>Source!Y155</f>
        <v>80.95</v>
      </c>
      <c r="U281">
        <f>ROUND((175/100)*ROUND((Source!AE155*Source!AV155)*Source!I155, 2), 2)</f>
        <v>0</v>
      </c>
      <c r="V281">
        <f>ROUND((108/100)*ROUND(Source!CS155*Source!I155, 2), 2)</f>
        <v>0</v>
      </c>
    </row>
    <row r="282" spans="1:22" ht="14.25" x14ac:dyDescent="0.2">
      <c r="A282" s="18"/>
      <c r="B282" s="18"/>
      <c r="C282" s="18" t="s">
        <v>731</v>
      </c>
      <c r="D282" s="19"/>
      <c r="E282" s="9"/>
      <c r="F282" s="21">
        <f>Source!AO155</f>
        <v>134.91999999999999</v>
      </c>
      <c r="G282" s="20" t="str">
        <f>Source!DG155</f>
        <v/>
      </c>
      <c r="H282" s="9">
        <f>Source!AV155</f>
        <v>1</v>
      </c>
      <c r="I282" s="9">
        <f>IF(Source!BA155&lt;&gt; 0, Source!BA155, 1)</f>
        <v>1</v>
      </c>
      <c r="J282" s="21">
        <f>Source!S155</f>
        <v>809.52</v>
      </c>
      <c r="K282" s="21"/>
    </row>
    <row r="283" spans="1:22" ht="14.25" x14ac:dyDescent="0.2">
      <c r="A283" s="18"/>
      <c r="B283" s="18"/>
      <c r="C283" s="18" t="s">
        <v>732</v>
      </c>
      <c r="D283" s="19"/>
      <c r="E283" s="9"/>
      <c r="F283" s="21">
        <f>Source!AL155</f>
        <v>0.63</v>
      </c>
      <c r="G283" s="20" t="str">
        <f>Source!DD155</f>
        <v/>
      </c>
      <c r="H283" s="9">
        <f>Source!AW155</f>
        <v>1</v>
      </c>
      <c r="I283" s="9">
        <f>IF(Source!BC155&lt;&gt; 0, Source!BC155, 1)</f>
        <v>1</v>
      </c>
      <c r="J283" s="21">
        <f>Source!P155</f>
        <v>3.78</v>
      </c>
      <c r="K283" s="21"/>
    </row>
    <row r="284" spans="1:22" ht="14.25" x14ac:dyDescent="0.2">
      <c r="A284" s="18"/>
      <c r="B284" s="18"/>
      <c r="C284" s="18" t="s">
        <v>733</v>
      </c>
      <c r="D284" s="19" t="s">
        <v>734</v>
      </c>
      <c r="E284" s="9">
        <f>Source!AT155</f>
        <v>70</v>
      </c>
      <c r="F284" s="21"/>
      <c r="G284" s="20"/>
      <c r="H284" s="9"/>
      <c r="I284" s="9"/>
      <c r="J284" s="21">
        <f>SUM(R281:R283)</f>
        <v>566.66</v>
      </c>
      <c r="K284" s="21"/>
    </row>
    <row r="285" spans="1:22" ht="14.25" x14ac:dyDescent="0.2">
      <c r="A285" s="18"/>
      <c r="B285" s="18"/>
      <c r="C285" s="18" t="s">
        <v>735</v>
      </c>
      <c r="D285" s="19" t="s">
        <v>734</v>
      </c>
      <c r="E285" s="9">
        <f>Source!AU155</f>
        <v>10</v>
      </c>
      <c r="F285" s="21"/>
      <c r="G285" s="20"/>
      <c r="H285" s="9"/>
      <c r="I285" s="9"/>
      <c r="J285" s="21">
        <f>SUM(T281:T284)</f>
        <v>80.95</v>
      </c>
      <c r="K285" s="21"/>
    </row>
    <row r="286" spans="1:22" ht="14.25" x14ac:dyDescent="0.2">
      <c r="A286" s="18"/>
      <c r="B286" s="18"/>
      <c r="C286" s="18" t="s">
        <v>736</v>
      </c>
      <c r="D286" s="19" t="s">
        <v>737</v>
      </c>
      <c r="E286" s="9">
        <f>Source!AQ155</f>
        <v>0.24</v>
      </c>
      <c r="F286" s="21"/>
      <c r="G286" s="20" t="str">
        <f>Source!DI155</f>
        <v/>
      </c>
      <c r="H286" s="9">
        <f>Source!AV155</f>
        <v>1</v>
      </c>
      <c r="I286" s="9"/>
      <c r="J286" s="21"/>
      <c r="K286" s="21">
        <f>Source!U155</f>
        <v>1.44</v>
      </c>
    </row>
    <row r="287" spans="1:22" ht="15" x14ac:dyDescent="0.25">
      <c r="A287" s="23"/>
      <c r="B287" s="23"/>
      <c r="C287" s="23"/>
      <c r="D287" s="23"/>
      <c r="E287" s="23"/>
      <c r="F287" s="23"/>
      <c r="G287" s="23"/>
      <c r="H287" s="23"/>
      <c r="I287" s="51">
        <f>J282+J283+J284+J285</f>
        <v>1460.91</v>
      </c>
      <c r="J287" s="51"/>
      <c r="K287" s="24">
        <f>IF(Source!I155&lt;&gt;0, ROUND(I287/Source!I155, 2), 0)</f>
        <v>243.49</v>
      </c>
      <c r="P287" s="22">
        <f>I287</f>
        <v>1460.91</v>
      </c>
    </row>
    <row r="288" spans="1:22" ht="57" x14ac:dyDescent="0.2">
      <c r="A288" s="18">
        <v>32</v>
      </c>
      <c r="B288" s="18" t="str">
        <f>Source!F157</f>
        <v>1.24-2503-4-18/1</v>
      </c>
      <c r="C288" s="18" t="str">
        <f>Source!G157</f>
        <v>Техническое обслуживание циркуляционных насосов систем отопления с тепловыми насосами - ежемесячное</v>
      </c>
      <c r="D288" s="19" t="str">
        <f>Source!H157</f>
        <v>шт.</v>
      </c>
      <c r="E288" s="9">
        <f>Source!I157</f>
        <v>2</v>
      </c>
      <c r="F288" s="21"/>
      <c r="G288" s="20"/>
      <c r="H288" s="9"/>
      <c r="I288" s="9"/>
      <c r="J288" s="21"/>
      <c r="K288" s="21"/>
      <c r="Q288">
        <f>ROUND((Source!BZ157/100)*ROUND((Source!AF157*Source!AV157)*Source!I157, 2), 2)</f>
        <v>1649.26</v>
      </c>
      <c r="R288">
        <f>Source!X157</f>
        <v>1649.26</v>
      </c>
      <c r="S288">
        <f>ROUND((Source!CA157/100)*ROUND((Source!AF157*Source!AV157)*Source!I157, 2), 2)</f>
        <v>235.61</v>
      </c>
      <c r="T288">
        <f>Source!Y157</f>
        <v>235.61</v>
      </c>
      <c r="U288">
        <f>ROUND((175/100)*ROUND((Source!AE157*Source!AV157)*Source!I157, 2), 2)</f>
        <v>1735.02</v>
      </c>
      <c r="V288">
        <f>ROUND((108/100)*ROUND(Source!CS157*Source!I157, 2), 2)</f>
        <v>1070.76</v>
      </c>
    </row>
    <row r="289" spans="1:22" ht="14.25" x14ac:dyDescent="0.2">
      <c r="A289" s="18"/>
      <c r="B289" s="18"/>
      <c r="C289" s="18" t="s">
        <v>731</v>
      </c>
      <c r="D289" s="19"/>
      <c r="E289" s="9"/>
      <c r="F289" s="21">
        <f>Source!AO157</f>
        <v>294.51</v>
      </c>
      <c r="G289" s="20" t="str">
        <f>Source!DG157</f>
        <v>)*4</v>
      </c>
      <c r="H289" s="9">
        <f>Source!AV157</f>
        <v>1</v>
      </c>
      <c r="I289" s="9">
        <f>IF(Source!BA157&lt;&gt; 0, Source!BA157, 1)</f>
        <v>1</v>
      </c>
      <c r="J289" s="21">
        <f>Source!S157</f>
        <v>2356.08</v>
      </c>
      <c r="K289" s="21"/>
    </row>
    <row r="290" spans="1:22" ht="14.25" x14ac:dyDescent="0.2">
      <c r="A290" s="18"/>
      <c r="B290" s="18"/>
      <c r="C290" s="18" t="s">
        <v>738</v>
      </c>
      <c r="D290" s="19"/>
      <c r="E290" s="9"/>
      <c r="F290" s="21">
        <f>Source!AM157</f>
        <v>195.45</v>
      </c>
      <c r="G290" s="20" t="str">
        <f>Source!DE157</f>
        <v>)*4</v>
      </c>
      <c r="H290" s="9">
        <f>Source!AV157</f>
        <v>1</v>
      </c>
      <c r="I290" s="9">
        <f>IF(Source!BB157&lt;&gt; 0, Source!BB157, 1)</f>
        <v>1</v>
      </c>
      <c r="J290" s="21">
        <f>Source!Q157</f>
        <v>1563.6</v>
      </c>
      <c r="K290" s="21"/>
    </row>
    <row r="291" spans="1:22" ht="14.25" x14ac:dyDescent="0.2">
      <c r="A291" s="18"/>
      <c r="B291" s="18"/>
      <c r="C291" s="18" t="s">
        <v>739</v>
      </c>
      <c r="D291" s="19"/>
      <c r="E291" s="9"/>
      <c r="F291" s="21">
        <f>Source!AN157</f>
        <v>123.93</v>
      </c>
      <c r="G291" s="20" t="str">
        <f>Source!DF157</f>
        <v>)*4</v>
      </c>
      <c r="H291" s="9">
        <f>Source!AV157</f>
        <v>1</v>
      </c>
      <c r="I291" s="9">
        <f>IF(Source!BS157&lt;&gt; 0, Source!BS157, 1)</f>
        <v>1</v>
      </c>
      <c r="J291" s="27">
        <f>Source!R157</f>
        <v>991.44</v>
      </c>
      <c r="K291" s="21"/>
    </row>
    <row r="292" spans="1:22" ht="14.25" x14ac:dyDescent="0.2">
      <c r="A292" s="18"/>
      <c r="B292" s="18"/>
      <c r="C292" s="18" t="s">
        <v>732</v>
      </c>
      <c r="D292" s="19"/>
      <c r="E292" s="9"/>
      <c r="F292" s="21">
        <f>Source!AL157</f>
        <v>0.63</v>
      </c>
      <c r="G292" s="20" t="str">
        <f>Source!DD157</f>
        <v>)*4</v>
      </c>
      <c r="H292" s="9">
        <f>Source!AW157</f>
        <v>1</v>
      </c>
      <c r="I292" s="9">
        <f>IF(Source!BC157&lt;&gt; 0, Source!BC157, 1)</f>
        <v>1</v>
      </c>
      <c r="J292" s="21">
        <f>Source!P157</f>
        <v>5.04</v>
      </c>
      <c r="K292" s="21"/>
    </row>
    <row r="293" spans="1:22" ht="14.25" x14ac:dyDescent="0.2">
      <c r="A293" s="18"/>
      <c r="B293" s="18"/>
      <c r="C293" s="18" t="s">
        <v>733</v>
      </c>
      <c r="D293" s="19" t="s">
        <v>734</v>
      </c>
      <c r="E293" s="9">
        <f>Source!AT157</f>
        <v>70</v>
      </c>
      <c r="F293" s="21"/>
      <c r="G293" s="20"/>
      <c r="H293" s="9"/>
      <c r="I293" s="9"/>
      <c r="J293" s="21">
        <f>SUM(R288:R292)</f>
        <v>1649.26</v>
      </c>
      <c r="K293" s="21"/>
    </row>
    <row r="294" spans="1:22" ht="14.25" x14ac:dyDescent="0.2">
      <c r="A294" s="18"/>
      <c r="B294" s="18"/>
      <c r="C294" s="18" t="s">
        <v>735</v>
      </c>
      <c r="D294" s="19" t="s">
        <v>734</v>
      </c>
      <c r="E294" s="9">
        <f>Source!AU157</f>
        <v>10</v>
      </c>
      <c r="F294" s="21"/>
      <c r="G294" s="20"/>
      <c r="H294" s="9"/>
      <c r="I294" s="9"/>
      <c r="J294" s="21">
        <f>SUM(T288:T293)</f>
        <v>235.61</v>
      </c>
      <c r="K294" s="21"/>
    </row>
    <row r="295" spans="1:22" ht="14.25" x14ac:dyDescent="0.2">
      <c r="A295" s="18"/>
      <c r="B295" s="18"/>
      <c r="C295" s="18" t="s">
        <v>740</v>
      </c>
      <c r="D295" s="19" t="s">
        <v>734</v>
      </c>
      <c r="E295" s="9">
        <f>108</f>
        <v>108</v>
      </c>
      <c r="F295" s="21"/>
      <c r="G295" s="20"/>
      <c r="H295" s="9"/>
      <c r="I295" s="9"/>
      <c r="J295" s="21">
        <f>SUM(V288:V294)</f>
        <v>1070.76</v>
      </c>
      <c r="K295" s="21"/>
    </row>
    <row r="296" spans="1:22" ht="14.25" x14ac:dyDescent="0.2">
      <c r="A296" s="18"/>
      <c r="B296" s="18"/>
      <c r="C296" s="18" t="s">
        <v>736</v>
      </c>
      <c r="D296" s="19" t="s">
        <v>737</v>
      </c>
      <c r="E296" s="9">
        <f>Source!AQ157</f>
        <v>0.42</v>
      </c>
      <c r="F296" s="21"/>
      <c r="G296" s="20" t="str">
        <f>Source!DI157</f>
        <v>)*4</v>
      </c>
      <c r="H296" s="9">
        <f>Source!AV157</f>
        <v>1</v>
      </c>
      <c r="I296" s="9"/>
      <c r="J296" s="21"/>
      <c r="K296" s="21">
        <f>Source!U157</f>
        <v>3.36</v>
      </c>
    </row>
    <row r="297" spans="1:22" ht="15" x14ac:dyDescent="0.25">
      <c r="A297" s="23"/>
      <c r="B297" s="23"/>
      <c r="C297" s="23"/>
      <c r="D297" s="23"/>
      <c r="E297" s="23"/>
      <c r="F297" s="23"/>
      <c r="G297" s="23"/>
      <c r="H297" s="23"/>
      <c r="I297" s="51">
        <f>J289+J290+J292+J293+J294+J295</f>
        <v>6880.3499999999995</v>
      </c>
      <c r="J297" s="51"/>
      <c r="K297" s="24">
        <f>IF(Source!I157&lt;&gt;0, ROUND(I297/Source!I157, 2), 0)</f>
        <v>3440.18</v>
      </c>
      <c r="P297" s="22">
        <f>I297</f>
        <v>6880.3499999999995</v>
      </c>
    </row>
    <row r="298" spans="1:22" ht="28.5" x14ac:dyDescent="0.2">
      <c r="A298" s="18">
        <v>33</v>
      </c>
      <c r="B298" s="18" t="str">
        <f>Source!F158</f>
        <v>1.23-2303-7-2/1</v>
      </c>
      <c r="C298" s="18" t="str">
        <f>Source!G158</f>
        <v>Техническое обслуживание реле давления, напора, тяги</v>
      </c>
      <c r="D298" s="19" t="str">
        <f>Source!H158</f>
        <v>шт.</v>
      </c>
      <c r="E298" s="9">
        <f>Source!I158</f>
        <v>1</v>
      </c>
      <c r="F298" s="21"/>
      <c r="G298" s="20"/>
      <c r="H298" s="9"/>
      <c r="I298" s="9"/>
      <c r="J298" s="21"/>
      <c r="K298" s="21"/>
      <c r="Q298">
        <f>ROUND((Source!BZ158/100)*ROUND((Source!AF158*Source!AV158)*Source!I158, 2), 2)</f>
        <v>377.54</v>
      </c>
      <c r="R298">
        <f>Source!X158</f>
        <v>377.54</v>
      </c>
      <c r="S298">
        <f>ROUND((Source!CA158/100)*ROUND((Source!AF158*Source!AV158)*Source!I158, 2), 2)</f>
        <v>53.93</v>
      </c>
      <c r="T298">
        <f>Source!Y158</f>
        <v>53.93</v>
      </c>
      <c r="U298">
        <f>ROUND((175/100)*ROUND((Source!AE158*Source!AV158)*Source!I158, 2), 2)</f>
        <v>0</v>
      </c>
      <c r="V298">
        <f>ROUND((108/100)*ROUND(Source!CS158*Source!I158, 2), 2)</f>
        <v>0</v>
      </c>
    </row>
    <row r="299" spans="1:22" ht="14.25" x14ac:dyDescent="0.2">
      <c r="A299" s="18"/>
      <c r="B299" s="18"/>
      <c r="C299" s="18" t="s">
        <v>731</v>
      </c>
      <c r="D299" s="19"/>
      <c r="E299" s="9"/>
      <c r="F299" s="21">
        <f>Source!AO158</f>
        <v>269.67</v>
      </c>
      <c r="G299" s="20" t="str">
        <f>Source!DG158</f>
        <v>)*2</v>
      </c>
      <c r="H299" s="9">
        <f>Source!AV158</f>
        <v>1</v>
      </c>
      <c r="I299" s="9">
        <f>IF(Source!BA158&lt;&gt; 0, Source!BA158, 1)</f>
        <v>1</v>
      </c>
      <c r="J299" s="21">
        <f>Source!S158</f>
        <v>539.34</v>
      </c>
      <c r="K299" s="21"/>
    </row>
    <row r="300" spans="1:22" ht="14.25" x14ac:dyDescent="0.2">
      <c r="A300" s="18"/>
      <c r="B300" s="18"/>
      <c r="C300" s="18" t="s">
        <v>732</v>
      </c>
      <c r="D300" s="19"/>
      <c r="E300" s="9"/>
      <c r="F300" s="21">
        <f>Source!AL158</f>
        <v>19.14</v>
      </c>
      <c r="G300" s="20" t="str">
        <f>Source!DD158</f>
        <v>)*2</v>
      </c>
      <c r="H300" s="9">
        <f>Source!AW158</f>
        <v>1</v>
      </c>
      <c r="I300" s="9">
        <f>IF(Source!BC158&lt;&gt; 0, Source!BC158, 1)</f>
        <v>1</v>
      </c>
      <c r="J300" s="21">
        <f>Source!P158</f>
        <v>38.28</v>
      </c>
      <c r="K300" s="21"/>
    </row>
    <row r="301" spans="1:22" ht="14.25" x14ac:dyDescent="0.2">
      <c r="A301" s="18"/>
      <c r="B301" s="18"/>
      <c r="C301" s="18" t="s">
        <v>733</v>
      </c>
      <c r="D301" s="19" t="s">
        <v>734</v>
      </c>
      <c r="E301" s="9">
        <f>Source!AT158</f>
        <v>70</v>
      </c>
      <c r="F301" s="21"/>
      <c r="G301" s="20"/>
      <c r="H301" s="9"/>
      <c r="I301" s="9"/>
      <c r="J301" s="21">
        <f>SUM(R298:R300)</f>
        <v>377.54</v>
      </c>
      <c r="K301" s="21"/>
    </row>
    <row r="302" spans="1:22" ht="14.25" x14ac:dyDescent="0.2">
      <c r="A302" s="18"/>
      <c r="B302" s="18"/>
      <c r="C302" s="18" t="s">
        <v>735</v>
      </c>
      <c r="D302" s="19" t="s">
        <v>734</v>
      </c>
      <c r="E302" s="9">
        <f>Source!AU158</f>
        <v>10</v>
      </c>
      <c r="F302" s="21"/>
      <c r="G302" s="20"/>
      <c r="H302" s="9"/>
      <c r="I302" s="9"/>
      <c r="J302" s="21">
        <f>SUM(T298:T301)</f>
        <v>53.93</v>
      </c>
      <c r="K302" s="21"/>
    </row>
    <row r="303" spans="1:22" ht="14.25" x14ac:dyDescent="0.2">
      <c r="A303" s="18"/>
      <c r="B303" s="18"/>
      <c r="C303" s="18" t="s">
        <v>736</v>
      </c>
      <c r="D303" s="19" t="s">
        <v>737</v>
      </c>
      <c r="E303" s="9">
        <f>Source!AQ158</f>
        <v>0.38</v>
      </c>
      <c r="F303" s="21"/>
      <c r="G303" s="20" t="str">
        <f>Source!DI158</f>
        <v>)*2</v>
      </c>
      <c r="H303" s="9">
        <f>Source!AV158</f>
        <v>1</v>
      </c>
      <c r="I303" s="9"/>
      <c r="J303" s="21"/>
      <c r="K303" s="21">
        <f>Source!U158</f>
        <v>0.76</v>
      </c>
    </row>
    <row r="304" spans="1:22" ht="15" x14ac:dyDescent="0.25">
      <c r="A304" s="23"/>
      <c r="B304" s="23"/>
      <c r="C304" s="23"/>
      <c r="D304" s="23"/>
      <c r="E304" s="23"/>
      <c r="F304" s="23"/>
      <c r="G304" s="23"/>
      <c r="H304" s="23"/>
      <c r="I304" s="51">
        <f>J299+J300+J301+J302</f>
        <v>1009.09</v>
      </c>
      <c r="J304" s="51"/>
      <c r="K304" s="24">
        <f>IF(Source!I158&lt;&gt;0, ROUND(I304/Source!I158, 2), 0)</f>
        <v>1009.09</v>
      </c>
      <c r="P304" s="22">
        <f>I304</f>
        <v>1009.09</v>
      </c>
    </row>
    <row r="305" spans="1:22" ht="42.75" x14ac:dyDescent="0.2">
      <c r="A305" s="18">
        <v>34</v>
      </c>
      <c r="B305" s="18" t="str">
        <f>Source!F159</f>
        <v>1.15-2203-7-1/1</v>
      </c>
      <c r="C305" s="18" t="str">
        <f>Source!G159</f>
        <v>Техническое обслуживание крана шарового латунного никелированного диаметром до 25 мм</v>
      </c>
      <c r="D305" s="19" t="str">
        <f>Source!H159</f>
        <v>10 шт.</v>
      </c>
      <c r="E305" s="9">
        <f>Source!I159</f>
        <v>0.2</v>
      </c>
      <c r="F305" s="21"/>
      <c r="G305" s="20"/>
      <c r="H305" s="9"/>
      <c r="I305" s="9"/>
      <c r="J305" s="21"/>
      <c r="K305" s="21"/>
      <c r="Q305">
        <f>ROUND((Source!BZ159/100)*ROUND((Source!AF159*Source!AV159)*Source!I159, 2), 2)</f>
        <v>38.9</v>
      </c>
      <c r="R305">
        <f>Source!X159</f>
        <v>38.9</v>
      </c>
      <c r="S305">
        <f>ROUND((Source!CA159/100)*ROUND((Source!AF159*Source!AV159)*Source!I159, 2), 2)</f>
        <v>5.56</v>
      </c>
      <c r="T305">
        <f>Source!Y159</f>
        <v>5.56</v>
      </c>
      <c r="U305">
        <f>ROUND((175/100)*ROUND((Source!AE159*Source!AV159)*Source!I159, 2), 2)</f>
        <v>0</v>
      </c>
      <c r="V305">
        <f>ROUND((108/100)*ROUND(Source!CS159*Source!I159, 2), 2)</f>
        <v>0</v>
      </c>
    </row>
    <row r="306" spans="1:22" x14ac:dyDescent="0.2">
      <c r="C306" s="25" t="str">
        <f>"Объем: "&amp;Source!I159&amp;"=2/"&amp;"10"</f>
        <v>Объем: 0,2=2/10</v>
      </c>
    </row>
    <row r="307" spans="1:22" ht="14.25" x14ac:dyDescent="0.2">
      <c r="A307" s="18"/>
      <c r="B307" s="18"/>
      <c r="C307" s="18" t="s">
        <v>731</v>
      </c>
      <c r="D307" s="19"/>
      <c r="E307" s="9"/>
      <c r="F307" s="21">
        <f>Source!AO159</f>
        <v>277.87</v>
      </c>
      <c r="G307" s="20" t="str">
        <f>Source!DG159</f>
        <v/>
      </c>
      <c r="H307" s="9">
        <f>Source!AV159</f>
        <v>1</v>
      </c>
      <c r="I307" s="9">
        <f>IF(Source!BA159&lt;&gt; 0, Source!BA159, 1)</f>
        <v>1</v>
      </c>
      <c r="J307" s="21">
        <f>Source!S159</f>
        <v>55.57</v>
      </c>
      <c r="K307" s="21"/>
    </row>
    <row r="308" spans="1:22" ht="14.25" x14ac:dyDescent="0.2">
      <c r="A308" s="18"/>
      <c r="B308" s="18"/>
      <c r="C308" s="18" t="s">
        <v>733</v>
      </c>
      <c r="D308" s="19" t="s">
        <v>734</v>
      </c>
      <c r="E308" s="9">
        <f>Source!AT159</f>
        <v>70</v>
      </c>
      <c r="F308" s="21"/>
      <c r="G308" s="20"/>
      <c r="H308" s="9"/>
      <c r="I308" s="9"/>
      <c r="J308" s="21">
        <f>SUM(R305:R307)</f>
        <v>38.9</v>
      </c>
      <c r="K308" s="21"/>
    </row>
    <row r="309" spans="1:22" ht="14.25" x14ac:dyDescent="0.2">
      <c r="A309" s="18"/>
      <c r="B309" s="18"/>
      <c r="C309" s="18" t="s">
        <v>735</v>
      </c>
      <c r="D309" s="19" t="s">
        <v>734</v>
      </c>
      <c r="E309" s="9">
        <f>Source!AU159</f>
        <v>10</v>
      </c>
      <c r="F309" s="21"/>
      <c r="G309" s="20"/>
      <c r="H309" s="9"/>
      <c r="I309" s="9"/>
      <c r="J309" s="21">
        <f>SUM(T305:T308)</f>
        <v>5.56</v>
      </c>
      <c r="K309" s="21"/>
    </row>
    <row r="310" spans="1:22" ht="14.25" x14ac:dyDescent="0.2">
      <c r="A310" s="18"/>
      <c r="B310" s="18"/>
      <c r="C310" s="18" t="s">
        <v>736</v>
      </c>
      <c r="D310" s="19" t="s">
        <v>737</v>
      </c>
      <c r="E310" s="9">
        <f>Source!AQ159</f>
        <v>0.45</v>
      </c>
      <c r="F310" s="21"/>
      <c r="G310" s="20" t="str">
        <f>Source!DI159</f>
        <v/>
      </c>
      <c r="H310" s="9">
        <f>Source!AV159</f>
        <v>1</v>
      </c>
      <c r="I310" s="9"/>
      <c r="J310" s="21"/>
      <c r="K310" s="21">
        <f>Source!U159</f>
        <v>9.0000000000000011E-2</v>
      </c>
    </row>
    <row r="311" spans="1:22" ht="15" x14ac:dyDescent="0.25">
      <c r="A311" s="23"/>
      <c r="B311" s="23"/>
      <c r="C311" s="23"/>
      <c r="D311" s="23"/>
      <c r="E311" s="23"/>
      <c r="F311" s="23"/>
      <c r="G311" s="23"/>
      <c r="H311" s="23"/>
      <c r="I311" s="51">
        <f>J307+J308+J309</f>
        <v>100.03</v>
      </c>
      <c r="J311" s="51"/>
      <c r="K311" s="24">
        <f>IF(Source!I159&lt;&gt;0, ROUND(I311/Source!I159, 2), 0)</f>
        <v>500.15</v>
      </c>
      <c r="P311" s="22">
        <f>I311</f>
        <v>100.03</v>
      </c>
    </row>
    <row r="312" spans="1:22" ht="42.75" x14ac:dyDescent="0.2">
      <c r="A312" s="18">
        <v>35</v>
      </c>
      <c r="B312" s="18" t="str">
        <f>Source!F160</f>
        <v>1.23-2103-18-1/1</v>
      </c>
      <c r="C312" s="18" t="str">
        <f>Source!G160</f>
        <v>Техническое обслуживание термометра биметаллического, дилатометрического</v>
      </c>
      <c r="D312" s="19" t="str">
        <f>Source!H160</f>
        <v>шт.</v>
      </c>
      <c r="E312" s="9">
        <f>Source!I160</f>
        <v>4</v>
      </c>
      <c r="F312" s="21"/>
      <c r="G312" s="20"/>
      <c r="H312" s="9"/>
      <c r="I312" s="9"/>
      <c r="J312" s="21"/>
      <c r="K312" s="21"/>
      <c r="Q312">
        <f>ROUND((Source!BZ160/100)*ROUND((Source!AF160*Source!AV160)*Source!I160, 2), 2)</f>
        <v>1231.94</v>
      </c>
      <c r="R312">
        <f>Source!X160</f>
        <v>1231.94</v>
      </c>
      <c r="S312">
        <f>ROUND((Source!CA160/100)*ROUND((Source!AF160*Source!AV160)*Source!I160, 2), 2)</f>
        <v>175.99</v>
      </c>
      <c r="T312">
        <f>Source!Y160</f>
        <v>175.99</v>
      </c>
      <c r="U312">
        <f>ROUND((175/100)*ROUND((Source!AE160*Source!AV160)*Source!I160, 2), 2)</f>
        <v>0</v>
      </c>
      <c r="V312">
        <f>ROUND((108/100)*ROUND(Source!CS160*Source!I160, 2), 2)</f>
        <v>0</v>
      </c>
    </row>
    <row r="313" spans="1:22" x14ac:dyDescent="0.2">
      <c r="C313" s="25" t="str">
        <f>"Объем: "&amp;Source!I160&amp;"=2+"&amp;"2"</f>
        <v>Объем: 4=2+2</v>
      </c>
    </row>
    <row r="314" spans="1:22" ht="14.25" x14ac:dyDescent="0.2">
      <c r="A314" s="18"/>
      <c r="B314" s="18"/>
      <c r="C314" s="18" t="s">
        <v>731</v>
      </c>
      <c r="D314" s="19"/>
      <c r="E314" s="9"/>
      <c r="F314" s="21">
        <f>Source!AO160</f>
        <v>219.99</v>
      </c>
      <c r="G314" s="20" t="str">
        <f>Source!DG160</f>
        <v>)*2</v>
      </c>
      <c r="H314" s="9">
        <f>Source!AV160</f>
        <v>1</v>
      </c>
      <c r="I314" s="9">
        <f>IF(Source!BA160&lt;&gt; 0, Source!BA160, 1)</f>
        <v>1</v>
      </c>
      <c r="J314" s="21">
        <f>Source!S160</f>
        <v>1759.92</v>
      </c>
      <c r="K314" s="21"/>
    </row>
    <row r="315" spans="1:22" ht="14.25" x14ac:dyDescent="0.2">
      <c r="A315" s="18"/>
      <c r="B315" s="18"/>
      <c r="C315" s="18" t="s">
        <v>732</v>
      </c>
      <c r="D315" s="19"/>
      <c r="E315" s="9"/>
      <c r="F315" s="21">
        <f>Source!AL160</f>
        <v>19.14</v>
      </c>
      <c r="G315" s="20" t="str">
        <f>Source!DD160</f>
        <v>)*2</v>
      </c>
      <c r="H315" s="9">
        <f>Source!AW160</f>
        <v>1</v>
      </c>
      <c r="I315" s="9">
        <f>IF(Source!BC160&lt;&gt; 0, Source!BC160, 1)</f>
        <v>1</v>
      </c>
      <c r="J315" s="21">
        <f>Source!P160</f>
        <v>153.12</v>
      </c>
      <c r="K315" s="21"/>
    </row>
    <row r="316" spans="1:22" ht="14.25" x14ac:dyDescent="0.2">
      <c r="A316" s="18"/>
      <c r="B316" s="18"/>
      <c r="C316" s="18" t="s">
        <v>733</v>
      </c>
      <c r="D316" s="19" t="s">
        <v>734</v>
      </c>
      <c r="E316" s="9">
        <f>Source!AT160</f>
        <v>70</v>
      </c>
      <c r="F316" s="21"/>
      <c r="G316" s="20"/>
      <c r="H316" s="9"/>
      <c r="I316" s="9"/>
      <c r="J316" s="21">
        <f>SUM(R312:R315)</f>
        <v>1231.94</v>
      </c>
      <c r="K316" s="21"/>
    </row>
    <row r="317" spans="1:22" ht="14.25" x14ac:dyDescent="0.2">
      <c r="A317" s="18"/>
      <c r="B317" s="18"/>
      <c r="C317" s="18" t="s">
        <v>735</v>
      </c>
      <c r="D317" s="19" t="s">
        <v>734</v>
      </c>
      <c r="E317" s="9">
        <f>Source!AU160</f>
        <v>10</v>
      </c>
      <c r="F317" s="21"/>
      <c r="G317" s="20"/>
      <c r="H317" s="9"/>
      <c r="I317" s="9"/>
      <c r="J317" s="21">
        <f>SUM(T312:T316)</f>
        <v>175.99</v>
      </c>
      <c r="K317" s="21"/>
    </row>
    <row r="318" spans="1:22" ht="14.25" x14ac:dyDescent="0.2">
      <c r="A318" s="18"/>
      <c r="B318" s="18"/>
      <c r="C318" s="18" t="s">
        <v>736</v>
      </c>
      <c r="D318" s="19" t="s">
        <v>737</v>
      </c>
      <c r="E318" s="9">
        <f>Source!AQ160</f>
        <v>0.31</v>
      </c>
      <c r="F318" s="21"/>
      <c r="G318" s="20" t="str">
        <f>Source!DI160</f>
        <v>)*2</v>
      </c>
      <c r="H318" s="9">
        <f>Source!AV160</f>
        <v>1</v>
      </c>
      <c r="I318" s="9"/>
      <c r="J318" s="21"/>
      <c r="K318" s="21">
        <f>Source!U160</f>
        <v>2.48</v>
      </c>
    </row>
    <row r="319" spans="1:22" ht="15" x14ac:dyDescent="0.25">
      <c r="A319" s="23"/>
      <c r="B319" s="23"/>
      <c r="C319" s="23"/>
      <c r="D319" s="23"/>
      <c r="E319" s="23"/>
      <c r="F319" s="23"/>
      <c r="G319" s="23"/>
      <c r="H319" s="23"/>
      <c r="I319" s="51">
        <f>J314+J315+J316+J317</f>
        <v>3320.9700000000003</v>
      </c>
      <c r="J319" s="51"/>
      <c r="K319" s="24">
        <f>IF(Source!I160&lt;&gt;0, ROUND(I319/Source!I160, 2), 0)</f>
        <v>830.24</v>
      </c>
      <c r="P319" s="22">
        <f>I319</f>
        <v>3320.9700000000003</v>
      </c>
    </row>
    <row r="320" spans="1:22" ht="42.75" x14ac:dyDescent="0.2">
      <c r="A320" s="18">
        <v>36</v>
      </c>
      <c r="B320" s="18" t="str">
        <f>Source!F161</f>
        <v>1.15-2303-5-3/1</v>
      </c>
      <c r="C320" s="18" t="str">
        <f>Source!G161</f>
        <v>Техническое обслуживание фильтров водяных фланцевых сетчатых диаметром до 150 мм</v>
      </c>
      <c r="D320" s="19" t="str">
        <f>Source!H161</f>
        <v>10 шт.</v>
      </c>
      <c r="E320" s="9">
        <f>Source!I161</f>
        <v>0.1</v>
      </c>
      <c r="F320" s="21"/>
      <c r="G320" s="20"/>
      <c r="H320" s="9"/>
      <c r="I320" s="9"/>
      <c r="J320" s="21"/>
      <c r="K320" s="21"/>
      <c r="Q320">
        <f>ROUND((Source!BZ161/100)*ROUND((Source!AF161*Source!AV161)*Source!I161, 2), 2)</f>
        <v>221.94</v>
      </c>
      <c r="R320">
        <f>Source!X161</f>
        <v>221.94</v>
      </c>
      <c r="S320">
        <f>ROUND((Source!CA161/100)*ROUND((Source!AF161*Source!AV161)*Source!I161, 2), 2)</f>
        <v>31.71</v>
      </c>
      <c r="T320">
        <f>Source!Y161</f>
        <v>31.71</v>
      </c>
      <c r="U320">
        <f>ROUND((175/100)*ROUND((Source!AE161*Source!AV161)*Source!I161, 2), 2)</f>
        <v>0</v>
      </c>
      <c r="V320">
        <f>ROUND((108/100)*ROUND(Source!CS161*Source!I161, 2), 2)</f>
        <v>0</v>
      </c>
    </row>
    <row r="321" spans="1:22" x14ac:dyDescent="0.2">
      <c r="C321" s="25" t="str">
        <f>"Объем: "&amp;Source!I161&amp;"=1/"&amp;"10"</f>
        <v>Объем: 0,1=1/10</v>
      </c>
    </row>
    <row r="322" spans="1:22" ht="14.25" x14ac:dyDescent="0.2">
      <c r="A322" s="18"/>
      <c r="B322" s="18"/>
      <c r="C322" s="18" t="s">
        <v>731</v>
      </c>
      <c r="D322" s="19"/>
      <c r="E322" s="9"/>
      <c r="F322" s="21">
        <f>Source!AO161</f>
        <v>3170.64</v>
      </c>
      <c r="G322" s="20" t="str">
        <f>Source!DG161</f>
        <v/>
      </c>
      <c r="H322" s="9">
        <f>Source!AV161</f>
        <v>1</v>
      </c>
      <c r="I322" s="9">
        <f>IF(Source!BA161&lt;&gt; 0, Source!BA161, 1)</f>
        <v>1</v>
      </c>
      <c r="J322" s="21">
        <f>Source!S161</f>
        <v>317.06</v>
      </c>
      <c r="K322" s="21"/>
    </row>
    <row r="323" spans="1:22" ht="14.25" x14ac:dyDescent="0.2">
      <c r="A323" s="18"/>
      <c r="B323" s="18"/>
      <c r="C323" s="18" t="s">
        <v>732</v>
      </c>
      <c r="D323" s="19"/>
      <c r="E323" s="9"/>
      <c r="F323" s="21">
        <f>Source!AL161</f>
        <v>1.57</v>
      </c>
      <c r="G323" s="20" t="str">
        <f>Source!DD161</f>
        <v/>
      </c>
      <c r="H323" s="9">
        <f>Source!AW161</f>
        <v>1</v>
      </c>
      <c r="I323" s="9">
        <f>IF(Source!BC161&lt;&gt; 0, Source!BC161, 1)</f>
        <v>1</v>
      </c>
      <c r="J323" s="21">
        <f>Source!P161</f>
        <v>0.16</v>
      </c>
      <c r="K323" s="21"/>
    </row>
    <row r="324" spans="1:22" ht="57" x14ac:dyDescent="0.2">
      <c r="A324" s="18" t="s">
        <v>231</v>
      </c>
      <c r="B324" s="18" t="str">
        <f>Source!F162</f>
        <v>21.26-1-112</v>
      </c>
      <c r="C324" s="18" t="str">
        <f>Source!G162</f>
        <v>Прокладки из терморасширенного графита для обслуживания фильтра сетчатого чугунного фланцевого диаметром 100 мм</v>
      </c>
      <c r="D324" s="19" t="str">
        <f>Source!H162</f>
        <v>шт.</v>
      </c>
      <c r="E324" s="9">
        <f>Source!I162</f>
        <v>4</v>
      </c>
      <c r="F324" s="21">
        <f>Source!AK162</f>
        <v>388.06</v>
      </c>
      <c r="G324" s="28" t="s">
        <v>3</v>
      </c>
      <c r="H324" s="9">
        <f>Source!AW162</f>
        <v>1</v>
      </c>
      <c r="I324" s="9">
        <f>IF(Source!BC162&lt;&gt; 0, Source!BC162, 1)</f>
        <v>1</v>
      </c>
      <c r="J324" s="21">
        <f>Source!O162</f>
        <v>1552.24</v>
      </c>
      <c r="K324" s="21"/>
      <c r="Q324">
        <f>ROUND((Source!BZ162/100)*ROUND((Source!AF162*Source!AV162)*Source!I162, 2), 2)</f>
        <v>0</v>
      </c>
      <c r="R324">
        <f>Source!X162</f>
        <v>0</v>
      </c>
      <c r="S324">
        <f>ROUND((Source!CA162/100)*ROUND((Source!AF162*Source!AV162)*Source!I162, 2), 2)</f>
        <v>0</v>
      </c>
      <c r="T324">
        <f>Source!Y162</f>
        <v>0</v>
      </c>
      <c r="U324">
        <f>ROUND((175/100)*ROUND((Source!AE162*Source!AV162)*Source!I162, 2), 2)</f>
        <v>0</v>
      </c>
      <c r="V324">
        <f>ROUND((108/100)*ROUND(Source!CS162*Source!I162, 2), 2)</f>
        <v>0</v>
      </c>
    </row>
    <row r="325" spans="1:22" ht="14.25" x14ac:dyDescent="0.2">
      <c r="A325" s="18"/>
      <c r="B325" s="18"/>
      <c r="C325" s="18" t="s">
        <v>733</v>
      </c>
      <c r="D325" s="19" t="s">
        <v>734</v>
      </c>
      <c r="E325" s="9">
        <f>Source!AT161</f>
        <v>70</v>
      </c>
      <c r="F325" s="21"/>
      <c r="G325" s="20"/>
      <c r="H325" s="9"/>
      <c r="I325" s="9"/>
      <c r="J325" s="21">
        <f>SUM(R320:R324)</f>
        <v>221.94</v>
      </c>
      <c r="K325" s="21"/>
    </row>
    <row r="326" spans="1:22" ht="14.25" x14ac:dyDescent="0.2">
      <c r="A326" s="18"/>
      <c r="B326" s="18"/>
      <c r="C326" s="18" t="s">
        <v>735</v>
      </c>
      <c r="D326" s="19" t="s">
        <v>734</v>
      </c>
      <c r="E326" s="9">
        <f>Source!AU161</f>
        <v>10</v>
      </c>
      <c r="F326" s="21"/>
      <c r="G326" s="20"/>
      <c r="H326" s="9"/>
      <c r="I326" s="9"/>
      <c r="J326" s="21">
        <f>SUM(T320:T325)</f>
        <v>31.71</v>
      </c>
      <c r="K326" s="21"/>
    </row>
    <row r="327" spans="1:22" ht="14.25" x14ac:dyDescent="0.2">
      <c r="A327" s="18"/>
      <c r="B327" s="18"/>
      <c r="C327" s="18" t="s">
        <v>736</v>
      </c>
      <c r="D327" s="19" t="s">
        <v>737</v>
      </c>
      <c r="E327" s="9">
        <f>Source!AQ161</f>
        <v>5.64</v>
      </c>
      <c r="F327" s="21"/>
      <c r="G327" s="20" t="str">
        <f>Source!DI161</f>
        <v/>
      </c>
      <c r="H327" s="9">
        <f>Source!AV161</f>
        <v>1</v>
      </c>
      <c r="I327" s="9"/>
      <c r="J327" s="21"/>
      <c r="K327" s="21">
        <f>Source!U161</f>
        <v>0.56399999999999995</v>
      </c>
    </row>
    <row r="328" spans="1:22" ht="15" x14ac:dyDescent="0.25">
      <c r="A328" s="23"/>
      <c r="B328" s="23"/>
      <c r="C328" s="23"/>
      <c r="D328" s="23"/>
      <c r="E328" s="23"/>
      <c r="F328" s="23"/>
      <c r="G328" s="23"/>
      <c r="H328" s="23"/>
      <c r="I328" s="51">
        <f>J322+J323+J325+J326+SUM(J324:J324)</f>
        <v>2123.11</v>
      </c>
      <c r="J328" s="51"/>
      <c r="K328" s="24">
        <f>IF(Source!I161&lt;&gt;0, ROUND(I328/Source!I161, 2), 0)</f>
        <v>21231.1</v>
      </c>
      <c r="P328" s="22">
        <f>I328</f>
        <v>2123.11</v>
      </c>
    </row>
    <row r="329" spans="1:22" ht="42.75" x14ac:dyDescent="0.2">
      <c r="A329" s="18">
        <v>37</v>
      </c>
      <c r="B329" s="18" t="str">
        <f>Source!F163</f>
        <v>1.15-2203-7-3/1</v>
      </c>
      <c r="C329" s="18" t="str">
        <f>Source!G163</f>
        <v>Техническое обслуживание крана шарового латунного никелированного диаметром до 100 мм</v>
      </c>
      <c r="D329" s="19" t="str">
        <f>Source!H163</f>
        <v>10 шт.</v>
      </c>
      <c r="E329" s="9">
        <f>Source!I163</f>
        <v>0.2</v>
      </c>
      <c r="F329" s="21"/>
      <c r="G329" s="20"/>
      <c r="H329" s="9"/>
      <c r="I329" s="9"/>
      <c r="J329" s="21"/>
      <c r="K329" s="21"/>
      <c r="Q329">
        <f>ROUND((Source!BZ163/100)*ROUND((Source!AF163*Source!AV163)*Source!I163, 2), 2)</f>
        <v>79.53</v>
      </c>
      <c r="R329">
        <f>Source!X163</f>
        <v>79.53</v>
      </c>
      <c r="S329">
        <f>ROUND((Source!CA163/100)*ROUND((Source!AF163*Source!AV163)*Source!I163, 2), 2)</f>
        <v>11.36</v>
      </c>
      <c r="T329">
        <f>Source!Y163</f>
        <v>11.36</v>
      </c>
      <c r="U329">
        <f>ROUND((175/100)*ROUND((Source!AE163*Source!AV163)*Source!I163, 2), 2)</f>
        <v>0</v>
      </c>
      <c r="V329">
        <f>ROUND((108/100)*ROUND(Source!CS163*Source!I163, 2), 2)</f>
        <v>0</v>
      </c>
    </row>
    <row r="330" spans="1:22" x14ac:dyDescent="0.2">
      <c r="C330" s="25" t="str">
        <f>"Объем: "&amp;Source!I163&amp;"=2/"&amp;"10"</f>
        <v>Объем: 0,2=2/10</v>
      </c>
    </row>
    <row r="331" spans="1:22" ht="14.25" x14ac:dyDescent="0.2">
      <c r="A331" s="18"/>
      <c r="B331" s="18"/>
      <c r="C331" s="18" t="s">
        <v>731</v>
      </c>
      <c r="D331" s="19"/>
      <c r="E331" s="9"/>
      <c r="F331" s="21">
        <f>Source!AO163</f>
        <v>568.09</v>
      </c>
      <c r="G331" s="20" t="str">
        <f>Source!DG163</f>
        <v/>
      </c>
      <c r="H331" s="9">
        <f>Source!AV163</f>
        <v>1</v>
      </c>
      <c r="I331" s="9">
        <f>IF(Source!BA163&lt;&gt; 0, Source!BA163, 1)</f>
        <v>1</v>
      </c>
      <c r="J331" s="21">
        <f>Source!S163</f>
        <v>113.62</v>
      </c>
      <c r="K331" s="21"/>
    </row>
    <row r="332" spans="1:22" ht="14.25" x14ac:dyDescent="0.2">
      <c r="A332" s="18"/>
      <c r="B332" s="18"/>
      <c r="C332" s="18" t="s">
        <v>733</v>
      </c>
      <c r="D332" s="19" t="s">
        <v>734</v>
      </c>
      <c r="E332" s="9">
        <f>Source!AT163</f>
        <v>70</v>
      </c>
      <c r="F332" s="21"/>
      <c r="G332" s="20"/>
      <c r="H332" s="9"/>
      <c r="I332" s="9"/>
      <c r="J332" s="21">
        <f>SUM(R329:R331)</f>
        <v>79.53</v>
      </c>
      <c r="K332" s="21"/>
    </row>
    <row r="333" spans="1:22" ht="14.25" x14ac:dyDescent="0.2">
      <c r="A333" s="18"/>
      <c r="B333" s="18"/>
      <c r="C333" s="18" t="s">
        <v>735</v>
      </c>
      <c r="D333" s="19" t="s">
        <v>734</v>
      </c>
      <c r="E333" s="9">
        <f>Source!AU163</f>
        <v>10</v>
      </c>
      <c r="F333" s="21"/>
      <c r="G333" s="20"/>
      <c r="H333" s="9"/>
      <c r="I333" s="9"/>
      <c r="J333" s="21">
        <f>SUM(T329:T332)</f>
        <v>11.36</v>
      </c>
      <c r="K333" s="21"/>
    </row>
    <row r="334" spans="1:22" ht="14.25" x14ac:dyDescent="0.2">
      <c r="A334" s="18"/>
      <c r="B334" s="18"/>
      <c r="C334" s="18" t="s">
        <v>736</v>
      </c>
      <c r="D334" s="19" t="s">
        <v>737</v>
      </c>
      <c r="E334" s="9">
        <f>Source!AQ163</f>
        <v>0.92</v>
      </c>
      <c r="F334" s="21"/>
      <c r="G334" s="20" t="str">
        <f>Source!DI163</f>
        <v/>
      </c>
      <c r="H334" s="9">
        <f>Source!AV163</f>
        <v>1</v>
      </c>
      <c r="I334" s="9"/>
      <c r="J334" s="21"/>
      <c r="K334" s="21">
        <f>Source!U163</f>
        <v>0.18400000000000002</v>
      </c>
    </row>
    <row r="335" spans="1:22" ht="15" x14ac:dyDescent="0.25">
      <c r="A335" s="23"/>
      <c r="B335" s="23"/>
      <c r="C335" s="23"/>
      <c r="D335" s="23"/>
      <c r="E335" s="23"/>
      <c r="F335" s="23"/>
      <c r="G335" s="23"/>
      <c r="H335" s="23"/>
      <c r="I335" s="51">
        <f>J331+J332+J333</f>
        <v>204.51</v>
      </c>
      <c r="J335" s="51"/>
      <c r="K335" s="24">
        <f>IF(Source!I163&lt;&gt;0, ROUND(I335/Source!I163, 2), 0)</f>
        <v>1022.55</v>
      </c>
      <c r="P335" s="22">
        <f>I335</f>
        <v>204.51</v>
      </c>
    </row>
    <row r="337" spans="1:22" ht="15" customHeight="1" x14ac:dyDescent="0.25">
      <c r="A337" s="54" t="str">
        <f>CONCATENATE("Итого по подразделу: ",IF(Source!G169&lt;&gt;"Новый подраздел", Source!G169, ""))</f>
        <v>Итого по подразделу: 2.2 Индивидуальный тепловой пункт</v>
      </c>
      <c r="B337" s="54"/>
      <c r="C337" s="54"/>
      <c r="D337" s="54"/>
      <c r="E337" s="54"/>
      <c r="F337" s="54"/>
      <c r="G337" s="54"/>
      <c r="H337" s="54"/>
      <c r="I337" s="53">
        <f>SUM(P71:P336)</f>
        <v>82518.430000000008</v>
      </c>
      <c r="J337" s="53"/>
      <c r="K337" s="26"/>
    </row>
    <row r="340" spans="1:22" ht="15" customHeight="1" x14ac:dyDescent="0.25">
      <c r="A340" s="54" t="str">
        <f>CONCATENATE("Итого по разделу: ",IF(Source!G199&lt;&gt;"Новый раздел", Source!G199, ""))</f>
        <v>Итого по разделу: Раздел: 2. Внутренние сети отопления и ИТП</v>
      </c>
      <c r="B340" s="54"/>
      <c r="C340" s="54"/>
      <c r="D340" s="54"/>
      <c r="E340" s="54"/>
      <c r="F340" s="54"/>
      <c r="G340" s="54"/>
      <c r="H340" s="54"/>
      <c r="I340" s="53">
        <f>SUM(P53:P339)</f>
        <v>90500.510000000009</v>
      </c>
      <c r="J340" s="53"/>
      <c r="K340" s="26"/>
    </row>
    <row r="343" spans="1:22" ht="16.5" customHeight="1" x14ac:dyDescent="0.25">
      <c r="A343" s="50" t="str">
        <f>CONCATENATE("Раздел: ",IF(Source!G229&lt;&gt;"Новый раздел", Source!G229, ""))</f>
        <v>Раздел: Раздел: 3. Вентиляция и теплоснабжение приточных установок</v>
      </c>
      <c r="B343" s="50"/>
      <c r="C343" s="50"/>
      <c r="D343" s="50"/>
      <c r="E343" s="50"/>
      <c r="F343" s="50"/>
      <c r="G343" s="50"/>
      <c r="H343" s="50"/>
      <c r="I343" s="50"/>
      <c r="J343" s="50"/>
      <c r="K343" s="50"/>
    </row>
    <row r="344" spans="1:22" ht="42.75" x14ac:dyDescent="0.2">
      <c r="A344" s="18">
        <v>38</v>
      </c>
      <c r="B344" s="18" t="str">
        <f>Source!F235</f>
        <v>1.18-2403-21-6/1</v>
      </c>
      <c r="C344" s="18" t="str">
        <f>Source!G235</f>
        <v>Техническое обслуживание приточных установок производительностью до 20000 м3/ч - ежеквартальное</v>
      </c>
      <c r="D344" s="19" t="str">
        <f>Source!H235</f>
        <v>установка</v>
      </c>
      <c r="E344" s="9">
        <f>Source!I235</f>
        <v>4</v>
      </c>
      <c r="F344" s="21"/>
      <c r="G344" s="20"/>
      <c r="H344" s="9"/>
      <c r="I344" s="9"/>
      <c r="J344" s="21"/>
      <c r="K344" s="21"/>
      <c r="Q344">
        <f>ROUND((Source!BZ235/100)*ROUND((Source!AF235*Source!AV235)*Source!I235, 2), 2)</f>
        <v>18728.7</v>
      </c>
      <c r="R344">
        <f>Source!X235</f>
        <v>18728.7</v>
      </c>
      <c r="S344">
        <f>ROUND((Source!CA235/100)*ROUND((Source!AF235*Source!AV235)*Source!I235, 2), 2)</f>
        <v>2675.53</v>
      </c>
      <c r="T344">
        <f>Source!Y235</f>
        <v>2675.53</v>
      </c>
      <c r="U344">
        <f>ROUND((175/100)*ROUND((Source!AE235*Source!AV235)*Source!I235, 2), 2)</f>
        <v>0.98</v>
      </c>
      <c r="V344">
        <f>ROUND((108/100)*ROUND(Source!CS235*Source!I235, 2), 2)</f>
        <v>0.6</v>
      </c>
    </row>
    <row r="345" spans="1:22" ht="14.25" x14ac:dyDescent="0.2">
      <c r="A345" s="18"/>
      <c r="B345" s="18"/>
      <c r="C345" s="18" t="s">
        <v>731</v>
      </c>
      <c r="D345" s="19"/>
      <c r="E345" s="9"/>
      <c r="F345" s="21">
        <f>Source!AO235</f>
        <v>3344.41</v>
      </c>
      <c r="G345" s="20" t="str">
        <f>Source!DG235</f>
        <v>)*2</v>
      </c>
      <c r="H345" s="9">
        <f>Source!AV235</f>
        <v>1</v>
      </c>
      <c r="I345" s="9">
        <f>IF(Source!BA235&lt;&gt; 0, Source!BA235, 1)</f>
        <v>1</v>
      </c>
      <c r="J345" s="21">
        <f>Source!S235</f>
        <v>26755.279999999999</v>
      </c>
      <c r="K345" s="21"/>
    </row>
    <row r="346" spans="1:22" ht="14.25" x14ac:dyDescent="0.2">
      <c r="A346" s="18"/>
      <c r="B346" s="18"/>
      <c r="C346" s="18" t="s">
        <v>738</v>
      </c>
      <c r="D346" s="19"/>
      <c r="E346" s="9"/>
      <c r="F346" s="21">
        <f>Source!AM235</f>
        <v>5.36</v>
      </c>
      <c r="G346" s="20" t="str">
        <f>Source!DE235</f>
        <v>)*2</v>
      </c>
      <c r="H346" s="9">
        <f>Source!AV235</f>
        <v>1</v>
      </c>
      <c r="I346" s="9">
        <f>IF(Source!BB235&lt;&gt; 0, Source!BB235, 1)</f>
        <v>1</v>
      </c>
      <c r="J346" s="21">
        <f>Source!Q235</f>
        <v>42.88</v>
      </c>
      <c r="K346" s="21"/>
    </row>
    <row r="347" spans="1:22" ht="14.25" x14ac:dyDescent="0.2">
      <c r="A347" s="18"/>
      <c r="B347" s="18"/>
      <c r="C347" s="18" t="s">
        <v>739</v>
      </c>
      <c r="D347" s="19"/>
      <c r="E347" s="9"/>
      <c r="F347" s="21">
        <f>Source!AN235</f>
        <v>7.0000000000000007E-2</v>
      </c>
      <c r="G347" s="20" t="str">
        <f>Source!DF235</f>
        <v>)*2</v>
      </c>
      <c r="H347" s="9">
        <f>Source!AV235</f>
        <v>1</v>
      </c>
      <c r="I347" s="9">
        <f>IF(Source!BS235&lt;&gt; 0, Source!BS235, 1)</f>
        <v>1</v>
      </c>
      <c r="J347" s="27">
        <f>Source!R235</f>
        <v>0.56000000000000005</v>
      </c>
      <c r="K347" s="21"/>
    </row>
    <row r="348" spans="1:22" ht="14.25" x14ac:dyDescent="0.2">
      <c r="A348" s="18"/>
      <c r="B348" s="18"/>
      <c r="C348" s="18" t="s">
        <v>732</v>
      </c>
      <c r="D348" s="19"/>
      <c r="E348" s="9"/>
      <c r="F348" s="21">
        <f>Source!AL235</f>
        <v>32.119999999999997</v>
      </c>
      <c r="G348" s="20" t="str">
        <f>Source!DD235</f>
        <v>)*2</v>
      </c>
      <c r="H348" s="9">
        <f>Source!AW235</f>
        <v>1</v>
      </c>
      <c r="I348" s="9">
        <f>IF(Source!BC235&lt;&gt; 0, Source!BC235, 1)</f>
        <v>1</v>
      </c>
      <c r="J348" s="21">
        <f>Source!P235</f>
        <v>256.95999999999998</v>
      </c>
      <c r="K348" s="21"/>
    </row>
    <row r="349" spans="1:22" ht="14.25" x14ac:dyDescent="0.2">
      <c r="A349" s="18"/>
      <c r="B349" s="18"/>
      <c r="C349" s="18" t="s">
        <v>733</v>
      </c>
      <c r="D349" s="19" t="s">
        <v>734</v>
      </c>
      <c r="E349" s="9">
        <f>Source!AT235</f>
        <v>70</v>
      </c>
      <c r="F349" s="21"/>
      <c r="G349" s="20"/>
      <c r="H349" s="9"/>
      <c r="I349" s="9"/>
      <c r="J349" s="21">
        <f>SUM(R344:R348)</f>
        <v>18728.7</v>
      </c>
      <c r="K349" s="21"/>
    </row>
    <row r="350" spans="1:22" ht="14.25" x14ac:dyDescent="0.2">
      <c r="A350" s="18"/>
      <c r="B350" s="18"/>
      <c r="C350" s="18" t="s">
        <v>735</v>
      </c>
      <c r="D350" s="19" t="s">
        <v>734</v>
      </c>
      <c r="E350" s="9">
        <f>Source!AU235</f>
        <v>10</v>
      </c>
      <c r="F350" s="21"/>
      <c r="G350" s="20"/>
      <c r="H350" s="9"/>
      <c r="I350" s="9"/>
      <c r="J350" s="21">
        <f>SUM(T344:T349)</f>
        <v>2675.53</v>
      </c>
      <c r="K350" s="21"/>
    </row>
    <row r="351" spans="1:22" ht="14.25" x14ac:dyDescent="0.2">
      <c r="A351" s="18"/>
      <c r="B351" s="18"/>
      <c r="C351" s="18" t="s">
        <v>740</v>
      </c>
      <c r="D351" s="19" t="s">
        <v>734</v>
      </c>
      <c r="E351" s="9">
        <f>108</f>
        <v>108</v>
      </c>
      <c r="F351" s="21"/>
      <c r="G351" s="20"/>
      <c r="H351" s="9"/>
      <c r="I351" s="9"/>
      <c r="J351" s="21">
        <f>SUM(V344:V350)</f>
        <v>0.6</v>
      </c>
      <c r="K351" s="21"/>
    </row>
    <row r="352" spans="1:22" ht="14.25" x14ac:dyDescent="0.2">
      <c r="A352" s="18"/>
      <c r="B352" s="18"/>
      <c r="C352" s="18" t="s">
        <v>736</v>
      </c>
      <c r="D352" s="19" t="s">
        <v>737</v>
      </c>
      <c r="E352" s="9">
        <f>Source!AQ235</f>
        <v>5.04</v>
      </c>
      <c r="F352" s="21"/>
      <c r="G352" s="20" t="str">
        <f>Source!DI235</f>
        <v>)*2</v>
      </c>
      <c r="H352" s="9">
        <f>Source!AV235</f>
        <v>1</v>
      </c>
      <c r="I352" s="9"/>
      <c r="J352" s="21"/>
      <c r="K352" s="21">
        <f>Source!U235</f>
        <v>40.32</v>
      </c>
    </row>
    <row r="353" spans="1:22" ht="15" x14ac:dyDescent="0.25">
      <c r="A353" s="23"/>
      <c r="B353" s="23"/>
      <c r="C353" s="23"/>
      <c r="D353" s="23"/>
      <c r="E353" s="23"/>
      <c r="F353" s="23"/>
      <c r="G353" s="23"/>
      <c r="H353" s="23"/>
      <c r="I353" s="51">
        <f>J345+J346+J348+J349+J350+J351</f>
        <v>48459.95</v>
      </c>
      <c r="J353" s="51"/>
      <c r="K353" s="24">
        <f>IF(Source!I235&lt;&gt;0, ROUND(I353/Source!I235, 2), 0)</f>
        <v>12114.99</v>
      </c>
      <c r="P353" s="22">
        <f>I353</f>
        <v>48459.95</v>
      </c>
    </row>
    <row r="354" spans="1:22" ht="42.75" x14ac:dyDescent="0.2">
      <c r="A354" s="18">
        <v>39</v>
      </c>
      <c r="B354" s="18" t="str">
        <f>Source!F239</f>
        <v>1.18-2403-21-4/1</v>
      </c>
      <c r="C354" s="18" t="str">
        <f>Source!G239</f>
        <v>Техническое обслуживание приточных установок производительностью до 5000 м3/ч - ежеквартальное</v>
      </c>
      <c r="D354" s="19" t="str">
        <f>Source!H239</f>
        <v>установка</v>
      </c>
      <c r="E354" s="9">
        <f>Source!I239</f>
        <v>1</v>
      </c>
      <c r="F354" s="21"/>
      <c r="G354" s="20"/>
      <c r="H354" s="9"/>
      <c r="I354" s="9"/>
      <c r="J354" s="21"/>
      <c r="K354" s="21"/>
      <c r="Q354">
        <f>ROUND((Source!BZ239/100)*ROUND((Source!AF239*Source!AV239)*Source!I239, 2), 2)</f>
        <v>2917.08</v>
      </c>
      <c r="R354">
        <f>Source!X239</f>
        <v>2917.08</v>
      </c>
      <c r="S354">
        <f>ROUND((Source!CA239/100)*ROUND((Source!AF239*Source!AV239)*Source!I239, 2), 2)</f>
        <v>416.73</v>
      </c>
      <c r="T354">
        <f>Source!Y239</f>
        <v>416.73</v>
      </c>
      <c r="U354">
        <f>ROUND((175/100)*ROUND((Source!AE239*Source!AV239)*Source!I239, 2), 2)</f>
        <v>7.0000000000000007E-2</v>
      </c>
      <c r="V354">
        <f>ROUND((108/100)*ROUND(Source!CS239*Source!I239, 2), 2)</f>
        <v>0.04</v>
      </c>
    </row>
    <row r="355" spans="1:22" ht="14.25" x14ac:dyDescent="0.2">
      <c r="A355" s="18"/>
      <c r="B355" s="18"/>
      <c r="C355" s="18" t="s">
        <v>731</v>
      </c>
      <c r="D355" s="19"/>
      <c r="E355" s="9"/>
      <c r="F355" s="21">
        <f>Source!AO239</f>
        <v>2083.63</v>
      </c>
      <c r="G355" s="20" t="str">
        <f>Source!DG239</f>
        <v>)*2</v>
      </c>
      <c r="H355" s="9">
        <f>Source!AV239</f>
        <v>1</v>
      </c>
      <c r="I355" s="9">
        <f>IF(Source!BA239&lt;&gt; 0, Source!BA239, 1)</f>
        <v>1</v>
      </c>
      <c r="J355" s="21">
        <f>Source!S239</f>
        <v>4167.26</v>
      </c>
      <c r="K355" s="21"/>
    </row>
    <row r="356" spans="1:22" ht="14.25" x14ac:dyDescent="0.2">
      <c r="A356" s="18"/>
      <c r="B356" s="18"/>
      <c r="C356" s="18" t="s">
        <v>738</v>
      </c>
      <c r="D356" s="19"/>
      <c r="E356" s="9"/>
      <c r="F356" s="21">
        <f>Source!AM239</f>
        <v>1.79</v>
      </c>
      <c r="G356" s="20" t="str">
        <f>Source!DE239</f>
        <v>)*2</v>
      </c>
      <c r="H356" s="9">
        <f>Source!AV239</f>
        <v>1</v>
      </c>
      <c r="I356" s="9">
        <f>IF(Source!BB239&lt;&gt; 0, Source!BB239, 1)</f>
        <v>1</v>
      </c>
      <c r="J356" s="21">
        <f>Source!Q239</f>
        <v>3.58</v>
      </c>
      <c r="K356" s="21"/>
    </row>
    <row r="357" spans="1:22" ht="14.25" x14ac:dyDescent="0.2">
      <c r="A357" s="18"/>
      <c r="B357" s="18"/>
      <c r="C357" s="18" t="s">
        <v>739</v>
      </c>
      <c r="D357" s="19"/>
      <c r="E357" s="9"/>
      <c r="F357" s="21">
        <f>Source!AN239</f>
        <v>0.02</v>
      </c>
      <c r="G357" s="20" t="str">
        <f>Source!DF239</f>
        <v>)*2</v>
      </c>
      <c r="H357" s="9">
        <f>Source!AV239</f>
        <v>1</v>
      </c>
      <c r="I357" s="9">
        <f>IF(Source!BS239&lt;&gt; 0, Source!BS239, 1)</f>
        <v>1</v>
      </c>
      <c r="J357" s="27">
        <f>Source!R239</f>
        <v>0.04</v>
      </c>
      <c r="K357" s="21"/>
    </row>
    <row r="358" spans="1:22" ht="14.25" x14ac:dyDescent="0.2">
      <c r="A358" s="18"/>
      <c r="B358" s="18"/>
      <c r="C358" s="18" t="s">
        <v>732</v>
      </c>
      <c r="D358" s="19"/>
      <c r="E358" s="9"/>
      <c r="F358" s="21">
        <f>Source!AL239</f>
        <v>10.08</v>
      </c>
      <c r="G358" s="20" t="str">
        <f>Source!DD239</f>
        <v>)*2</v>
      </c>
      <c r="H358" s="9">
        <f>Source!AW239</f>
        <v>1</v>
      </c>
      <c r="I358" s="9">
        <f>IF(Source!BC239&lt;&gt; 0, Source!BC239, 1)</f>
        <v>1</v>
      </c>
      <c r="J358" s="21">
        <f>Source!P239</f>
        <v>20.16</v>
      </c>
      <c r="K358" s="21"/>
    </row>
    <row r="359" spans="1:22" ht="14.25" x14ac:dyDescent="0.2">
      <c r="A359" s="18"/>
      <c r="B359" s="18"/>
      <c r="C359" s="18" t="s">
        <v>733</v>
      </c>
      <c r="D359" s="19" t="s">
        <v>734</v>
      </c>
      <c r="E359" s="9">
        <f>Source!AT239</f>
        <v>70</v>
      </c>
      <c r="F359" s="21"/>
      <c r="G359" s="20"/>
      <c r="H359" s="9"/>
      <c r="I359" s="9"/>
      <c r="J359" s="21">
        <f>SUM(R354:R358)</f>
        <v>2917.08</v>
      </c>
      <c r="K359" s="21"/>
    </row>
    <row r="360" spans="1:22" ht="14.25" x14ac:dyDescent="0.2">
      <c r="A360" s="18"/>
      <c r="B360" s="18"/>
      <c r="C360" s="18" t="s">
        <v>735</v>
      </c>
      <c r="D360" s="19" t="s">
        <v>734</v>
      </c>
      <c r="E360" s="9">
        <f>Source!AU239</f>
        <v>10</v>
      </c>
      <c r="F360" s="21"/>
      <c r="G360" s="20"/>
      <c r="H360" s="9"/>
      <c r="I360" s="9"/>
      <c r="J360" s="21">
        <f>SUM(T354:T359)</f>
        <v>416.73</v>
      </c>
      <c r="K360" s="21"/>
    </row>
    <row r="361" spans="1:22" ht="14.25" x14ac:dyDescent="0.2">
      <c r="A361" s="18"/>
      <c r="B361" s="18"/>
      <c r="C361" s="18" t="s">
        <v>740</v>
      </c>
      <c r="D361" s="19" t="s">
        <v>734</v>
      </c>
      <c r="E361" s="9">
        <f>108</f>
        <v>108</v>
      </c>
      <c r="F361" s="21"/>
      <c r="G361" s="20"/>
      <c r="H361" s="9"/>
      <c r="I361" s="9"/>
      <c r="J361" s="21">
        <f>SUM(V354:V360)</f>
        <v>0.04</v>
      </c>
      <c r="K361" s="21"/>
    </row>
    <row r="362" spans="1:22" ht="14.25" x14ac:dyDescent="0.2">
      <c r="A362" s="18"/>
      <c r="B362" s="18"/>
      <c r="C362" s="18" t="s">
        <v>736</v>
      </c>
      <c r="D362" s="19" t="s">
        <v>737</v>
      </c>
      <c r="E362" s="9">
        <f>Source!AQ239</f>
        <v>3.14</v>
      </c>
      <c r="F362" s="21"/>
      <c r="G362" s="20" t="str">
        <f>Source!DI239</f>
        <v>)*2</v>
      </c>
      <c r="H362" s="9">
        <f>Source!AV239</f>
        <v>1</v>
      </c>
      <c r="I362" s="9"/>
      <c r="J362" s="21"/>
      <c r="K362" s="21">
        <f>Source!U239</f>
        <v>6.28</v>
      </c>
    </row>
    <row r="363" spans="1:22" ht="15" x14ac:dyDescent="0.25">
      <c r="A363" s="23"/>
      <c r="B363" s="23"/>
      <c r="C363" s="23"/>
      <c r="D363" s="23"/>
      <c r="E363" s="23"/>
      <c r="F363" s="23"/>
      <c r="G363" s="23"/>
      <c r="H363" s="23"/>
      <c r="I363" s="51">
        <f>J355+J356+J358+J359+J360+J361</f>
        <v>7524.8499999999995</v>
      </c>
      <c r="J363" s="51"/>
      <c r="K363" s="24">
        <f>IF(Source!I239&lt;&gt;0, ROUND(I363/Source!I239, 2), 0)</f>
        <v>7524.85</v>
      </c>
      <c r="P363" s="22">
        <f>I363</f>
        <v>7524.8499999999995</v>
      </c>
    </row>
    <row r="364" spans="1:22" ht="42.75" x14ac:dyDescent="0.2">
      <c r="A364" s="18">
        <v>40</v>
      </c>
      <c r="B364" s="18" t="str">
        <f>Source!F244</f>
        <v>1.18-2403-20-4/1</v>
      </c>
      <c r="C364" s="18" t="str">
        <f>Source!G244</f>
        <v>Техническое обслуживание вытяжных установок производительностью до 20000 м3/ч - ежеквартальное</v>
      </c>
      <c r="D364" s="19" t="str">
        <f>Source!H244</f>
        <v>установка</v>
      </c>
      <c r="E364" s="9">
        <f>Source!I244</f>
        <v>4</v>
      </c>
      <c r="F364" s="21"/>
      <c r="G364" s="20"/>
      <c r="H364" s="9"/>
      <c r="I364" s="9"/>
      <c r="J364" s="21"/>
      <c r="K364" s="21"/>
      <c r="Q364">
        <f>ROUND((Source!BZ244/100)*ROUND((Source!AF244*Source!AV244)*Source!I244, 2), 2)</f>
        <v>10330.540000000001</v>
      </c>
      <c r="R364">
        <f>Source!X244</f>
        <v>10330.540000000001</v>
      </c>
      <c r="S364">
        <f>ROUND((Source!CA244/100)*ROUND((Source!AF244*Source!AV244)*Source!I244, 2), 2)</f>
        <v>1475.79</v>
      </c>
      <c r="T364">
        <f>Source!Y244</f>
        <v>1475.79</v>
      </c>
      <c r="U364">
        <f>ROUND((175/100)*ROUND((Source!AE244*Source!AV244)*Source!I244, 2), 2)</f>
        <v>0</v>
      </c>
      <c r="V364">
        <f>ROUND((108/100)*ROUND(Source!CS244*Source!I244, 2), 2)</f>
        <v>0</v>
      </c>
    </row>
    <row r="365" spans="1:22" ht="14.25" x14ac:dyDescent="0.2">
      <c r="A365" s="18"/>
      <c r="B365" s="18"/>
      <c r="C365" s="18" t="s">
        <v>731</v>
      </c>
      <c r="D365" s="19"/>
      <c r="E365" s="9"/>
      <c r="F365" s="21">
        <f>Source!AO244</f>
        <v>1844.74</v>
      </c>
      <c r="G365" s="20" t="str">
        <f>Source!DG244</f>
        <v>)*2</v>
      </c>
      <c r="H365" s="9">
        <f>Source!AV244</f>
        <v>1</v>
      </c>
      <c r="I365" s="9">
        <f>IF(Source!BA244&lt;&gt; 0, Source!BA244, 1)</f>
        <v>1</v>
      </c>
      <c r="J365" s="21">
        <f>Source!S244</f>
        <v>14757.92</v>
      </c>
      <c r="K365" s="21"/>
    </row>
    <row r="366" spans="1:22" ht="14.25" x14ac:dyDescent="0.2">
      <c r="A366" s="18"/>
      <c r="B366" s="18"/>
      <c r="C366" s="18" t="s">
        <v>732</v>
      </c>
      <c r="D366" s="19"/>
      <c r="E366" s="9"/>
      <c r="F366" s="21">
        <f>Source!AL244</f>
        <v>0.13</v>
      </c>
      <c r="G366" s="20" t="str">
        <f>Source!DD244</f>
        <v>)*2</v>
      </c>
      <c r="H366" s="9">
        <f>Source!AW244</f>
        <v>1</v>
      </c>
      <c r="I366" s="9">
        <f>IF(Source!BC244&lt;&gt; 0, Source!BC244, 1)</f>
        <v>1</v>
      </c>
      <c r="J366" s="21">
        <f>Source!P244</f>
        <v>1.04</v>
      </c>
      <c r="K366" s="21"/>
    </row>
    <row r="367" spans="1:22" ht="14.25" x14ac:dyDescent="0.2">
      <c r="A367" s="18"/>
      <c r="B367" s="18"/>
      <c r="C367" s="18" t="s">
        <v>733</v>
      </c>
      <c r="D367" s="19" t="s">
        <v>734</v>
      </c>
      <c r="E367" s="9">
        <f>Source!AT244</f>
        <v>70</v>
      </c>
      <c r="F367" s="21"/>
      <c r="G367" s="20"/>
      <c r="H367" s="9"/>
      <c r="I367" s="9"/>
      <c r="J367" s="21">
        <f>SUM(R364:R366)</f>
        <v>10330.540000000001</v>
      </c>
      <c r="K367" s="21"/>
    </row>
    <row r="368" spans="1:22" ht="14.25" x14ac:dyDescent="0.2">
      <c r="A368" s="18"/>
      <c r="B368" s="18"/>
      <c r="C368" s="18" t="s">
        <v>735</v>
      </c>
      <c r="D368" s="19" t="s">
        <v>734</v>
      </c>
      <c r="E368" s="9">
        <f>Source!AU244</f>
        <v>10</v>
      </c>
      <c r="F368" s="21"/>
      <c r="G368" s="20"/>
      <c r="H368" s="9"/>
      <c r="I368" s="9"/>
      <c r="J368" s="21">
        <f>SUM(T364:T367)</f>
        <v>1475.79</v>
      </c>
      <c r="K368" s="21"/>
    </row>
    <row r="369" spans="1:22" ht="14.25" x14ac:dyDescent="0.2">
      <c r="A369" s="18"/>
      <c r="B369" s="18"/>
      <c r="C369" s="18" t="s">
        <v>736</v>
      </c>
      <c r="D369" s="19" t="s">
        <v>737</v>
      </c>
      <c r="E369" s="9">
        <f>Source!AQ244</f>
        <v>2.78</v>
      </c>
      <c r="F369" s="21"/>
      <c r="G369" s="20" t="str">
        <f>Source!DI244</f>
        <v>)*2</v>
      </c>
      <c r="H369" s="9">
        <f>Source!AV244</f>
        <v>1</v>
      </c>
      <c r="I369" s="9"/>
      <c r="J369" s="21"/>
      <c r="K369" s="21">
        <f>Source!U244</f>
        <v>22.24</v>
      </c>
    </row>
    <row r="370" spans="1:22" ht="15" x14ac:dyDescent="0.25">
      <c r="A370" s="23"/>
      <c r="B370" s="23"/>
      <c r="C370" s="23"/>
      <c r="D370" s="23"/>
      <c r="E370" s="23"/>
      <c r="F370" s="23"/>
      <c r="G370" s="23"/>
      <c r="H370" s="23"/>
      <c r="I370" s="51">
        <f>J365+J366+J367+J368</f>
        <v>26565.29</v>
      </c>
      <c r="J370" s="51"/>
      <c r="K370" s="24">
        <f>IF(Source!I244&lt;&gt;0, ROUND(I370/Source!I244, 2), 0)</f>
        <v>6641.32</v>
      </c>
      <c r="P370" s="22">
        <f>I370</f>
        <v>26565.29</v>
      </c>
    </row>
    <row r="371" spans="1:22" ht="57" x14ac:dyDescent="0.2">
      <c r="A371" s="18">
        <v>41</v>
      </c>
      <c r="B371" s="18" t="str">
        <f>Source!F248</f>
        <v>1.18-2403-20-3/1</v>
      </c>
      <c r="C371" s="18" t="str">
        <f>Source!G248</f>
        <v>Техническое обслуживание вытяжных установок производительностью до 5000 м3/ч - ежеквартальное / применительно до 2000 м3/ч</v>
      </c>
      <c r="D371" s="19" t="str">
        <f>Source!H248</f>
        <v>установка</v>
      </c>
      <c r="E371" s="9">
        <f>Source!I248</f>
        <v>1</v>
      </c>
      <c r="F371" s="21"/>
      <c r="G371" s="20"/>
      <c r="H371" s="9"/>
      <c r="I371" s="9"/>
      <c r="J371" s="21"/>
      <c r="K371" s="21"/>
      <c r="Q371">
        <f>ROUND((Source!BZ248/100)*ROUND((Source!AF248*Source!AV248)*Source!I248, 2), 2)</f>
        <v>2211.0300000000002</v>
      </c>
      <c r="R371">
        <f>Source!X248</f>
        <v>2211.0300000000002</v>
      </c>
      <c r="S371">
        <f>ROUND((Source!CA248/100)*ROUND((Source!AF248*Source!AV248)*Source!I248, 2), 2)</f>
        <v>315.86</v>
      </c>
      <c r="T371">
        <f>Source!Y248</f>
        <v>315.86</v>
      </c>
      <c r="U371">
        <f>ROUND((175/100)*ROUND((Source!AE248*Source!AV248)*Source!I248, 2), 2)</f>
        <v>0</v>
      </c>
      <c r="V371">
        <f>ROUND((108/100)*ROUND(Source!CS248*Source!I248, 2), 2)</f>
        <v>0</v>
      </c>
    </row>
    <row r="372" spans="1:22" ht="14.25" x14ac:dyDescent="0.2">
      <c r="A372" s="18"/>
      <c r="B372" s="18"/>
      <c r="C372" s="18" t="s">
        <v>731</v>
      </c>
      <c r="D372" s="19"/>
      <c r="E372" s="9"/>
      <c r="F372" s="21">
        <f>Source!AO248</f>
        <v>1579.31</v>
      </c>
      <c r="G372" s="20" t="str">
        <f>Source!DG248</f>
        <v>)*2</v>
      </c>
      <c r="H372" s="9">
        <f>Source!AV248</f>
        <v>1</v>
      </c>
      <c r="I372" s="9">
        <f>IF(Source!BA248&lt;&gt; 0, Source!BA248, 1)</f>
        <v>1</v>
      </c>
      <c r="J372" s="21">
        <f>Source!S248</f>
        <v>3158.62</v>
      </c>
      <c r="K372" s="21"/>
    </row>
    <row r="373" spans="1:22" ht="14.25" x14ac:dyDescent="0.2">
      <c r="A373" s="18"/>
      <c r="B373" s="18"/>
      <c r="C373" s="18" t="s">
        <v>732</v>
      </c>
      <c r="D373" s="19"/>
      <c r="E373" s="9"/>
      <c r="F373" s="21">
        <f>Source!AL248</f>
        <v>0.03</v>
      </c>
      <c r="G373" s="20" t="str">
        <f>Source!DD248</f>
        <v>)*2</v>
      </c>
      <c r="H373" s="9">
        <f>Source!AW248</f>
        <v>1</v>
      </c>
      <c r="I373" s="9">
        <f>IF(Source!BC248&lt;&gt; 0, Source!BC248, 1)</f>
        <v>1</v>
      </c>
      <c r="J373" s="21">
        <f>Source!P248</f>
        <v>0.06</v>
      </c>
      <c r="K373" s="21"/>
    </row>
    <row r="374" spans="1:22" ht="14.25" x14ac:dyDescent="0.2">
      <c r="A374" s="18"/>
      <c r="B374" s="18"/>
      <c r="C374" s="18" t="s">
        <v>733</v>
      </c>
      <c r="D374" s="19" t="s">
        <v>734</v>
      </c>
      <c r="E374" s="9">
        <f>Source!AT248</f>
        <v>70</v>
      </c>
      <c r="F374" s="21"/>
      <c r="G374" s="20"/>
      <c r="H374" s="9"/>
      <c r="I374" s="9"/>
      <c r="J374" s="21">
        <f>SUM(R371:R373)</f>
        <v>2211.0300000000002</v>
      </c>
      <c r="K374" s="21"/>
    </row>
    <row r="375" spans="1:22" ht="14.25" x14ac:dyDescent="0.2">
      <c r="A375" s="18"/>
      <c r="B375" s="18"/>
      <c r="C375" s="18" t="s">
        <v>735</v>
      </c>
      <c r="D375" s="19" t="s">
        <v>734</v>
      </c>
      <c r="E375" s="9">
        <f>Source!AU248</f>
        <v>10</v>
      </c>
      <c r="F375" s="21"/>
      <c r="G375" s="20"/>
      <c r="H375" s="9"/>
      <c r="I375" s="9"/>
      <c r="J375" s="21">
        <f>SUM(T371:T374)</f>
        <v>315.86</v>
      </c>
      <c r="K375" s="21"/>
    </row>
    <row r="376" spans="1:22" ht="14.25" x14ac:dyDescent="0.2">
      <c r="A376" s="18"/>
      <c r="B376" s="18"/>
      <c r="C376" s="18" t="s">
        <v>736</v>
      </c>
      <c r="D376" s="19" t="s">
        <v>737</v>
      </c>
      <c r="E376" s="9">
        <f>Source!AQ248</f>
        <v>2.38</v>
      </c>
      <c r="F376" s="21"/>
      <c r="G376" s="20" t="str">
        <f>Source!DI248</f>
        <v>)*2</v>
      </c>
      <c r="H376" s="9">
        <f>Source!AV248</f>
        <v>1</v>
      </c>
      <c r="I376" s="9"/>
      <c r="J376" s="21"/>
      <c r="K376" s="21">
        <f>Source!U248</f>
        <v>4.76</v>
      </c>
    </row>
    <row r="377" spans="1:22" ht="15" x14ac:dyDescent="0.25">
      <c r="A377" s="23"/>
      <c r="B377" s="23"/>
      <c r="C377" s="23"/>
      <c r="D377" s="23"/>
      <c r="E377" s="23"/>
      <c r="F377" s="23"/>
      <c r="G377" s="23"/>
      <c r="H377" s="23"/>
      <c r="I377" s="51">
        <f>J372+J373+J374+J375</f>
        <v>5685.57</v>
      </c>
      <c r="J377" s="51"/>
      <c r="K377" s="24">
        <f>IF(Source!I248&lt;&gt;0, ROUND(I377/Source!I248, 2), 0)</f>
        <v>5685.57</v>
      </c>
      <c r="P377" s="22">
        <f>I377</f>
        <v>5685.57</v>
      </c>
    </row>
    <row r="378" spans="1:22" ht="57" x14ac:dyDescent="0.2">
      <c r="A378" s="18">
        <v>42</v>
      </c>
      <c r="B378" s="18" t="str">
        <f>Source!F253</f>
        <v>1.18-2203-3-1/1</v>
      </c>
      <c r="C378" s="18" t="str">
        <f>Source!G253</f>
        <v>Техническое обслуживание клапанов обратных воздушных диаметром/периметром до 560/1600 мм</v>
      </c>
      <c r="D378" s="19" t="str">
        <f>Source!H253</f>
        <v>шт.</v>
      </c>
      <c r="E378" s="9">
        <f>Source!I253</f>
        <v>1</v>
      </c>
      <c r="F378" s="21"/>
      <c r="G378" s="20"/>
      <c r="H378" s="9"/>
      <c r="I378" s="9"/>
      <c r="J378" s="21"/>
      <c r="K378" s="21"/>
      <c r="Q378">
        <f>ROUND((Source!BZ253/100)*ROUND((Source!AF253*Source!AV253)*Source!I253, 2), 2)</f>
        <v>172.9</v>
      </c>
      <c r="R378">
        <f>Source!X253</f>
        <v>172.9</v>
      </c>
      <c r="S378">
        <f>ROUND((Source!CA253/100)*ROUND((Source!AF253*Source!AV253)*Source!I253, 2), 2)</f>
        <v>24.7</v>
      </c>
      <c r="T378">
        <f>Source!Y253</f>
        <v>24.7</v>
      </c>
      <c r="U378">
        <f>ROUND((175/100)*ROUND((Source!AE253*Source!AV253)*Source!I253, 2), 2)</f>
        <v>57.82</v>
      </c>
      <c r="V378">
        <f>ROUND((108/100)*ROUND(Source!CS253*Source!I253, 2), 2)</f>
        <v>35.68</v>
      </c>
    </row>
    <row r="379" spans="1:22" ht="14.25" x14ac:dyDescent="0.2">
      <c r="A379" s="18"/>
      <c r="B379" s="18"/>
      <c r="C379" s="18" t="s">
        <v>731</v>
      </c>
      <c r="D379" s="19"/>
      <c r="E379" s="9"/>
      <c r="F379" s="21">
        <f>Source!AO253</f>
        <v>123.5</v>
      </c>
      <c r="G379" s="20" t="str">
        <f>Source!DG253</f>
        <v>)*2</v>
      </c>
      <c r="H379" s="9">
        <f>Source!AV253</f>
        <v>1</v>
      </c>
      <c r="I379" s="9">
        <f>IF(Source!BA253&lt;&gt; 0, Source!BA253, 1)</f>
        <v>1</v>
      </c>
      <c r="J379" s="21">
        <f>Source!S253</f>
        <v>247</v>
      </c>
      <c r="K379" s="21"/>
    </row>
    <row r="380" spans="1:22" ht="14.25" x14ac:dyDescent="0.2">
      <c r="A380" s="18"/>
      <c r="B380" s="18"/>
      <c r="C380" s="18" t="s">
        <v>738</v>
      </c>
      <c r="D380" s="19"/>
      <c r="E380" s="9"/>
      <c r="F380" s="21">
        <f>Source!AM253</f>
        <v>26.06</v>
      </c>
      <c r="G380" s="20" t="str">
        <f>Source!DE253</f>
        <v>)*2</v>
      </c>
      <c r="H380" s="9">
        <f>Source!AV253</f>
        <v>1</v>
      </c>
      <c r="I380" s="9">
        <f>IF(Source!BB253&lt;&gt; 0, Source!BB253, 1)</f>
        <v>1</v>
      </c>
      <c r="J380" s="21">
        <f>Source!Q253</f>
        <v>52.12</v>
      </c>
      <c r="K380" s="21"/>
    </row>
    <row r="381" spans="1:22" ht="14.25" x14ac:dyDescent="0.2">
      <c r="A381" s="18"/>
      <c r="B381" s="18"/>
      <c r="C381" s="18" t="s">
        <v>739</v>
      </c>
      <c r="D381" s="19"/>
      <c r="E381" s="9"/>
      <c r="F381" s="21">
        <f>Source!AN253</f>
        <v>16.52</v>
      </c>
      <c r="G381" s="20" t="str">
        <f>Source!DF253</f>
        <v>)*2</v>
      </c>
      <c r="H381" s="9">
        <f>Source!AV253</f>
        <v>1</v>
      </c>
      <c r="I381" s="9">
        <f>IF(Source!BS253&lt;&gt; 0, Source!BS253, 1)</f>
        <v>1</v>
      </c>
      <c r="J381" s="27">
        <f>Source!R253</f>
        <v>33.04</v>
      </c>
      <c r="K381" s="21"/>
    </row>
    <row r="382" spans="1:22" ht="14.25" x14ac:dyDescent="0.2">
      <c r="A382" s="18"/>
      <c r="B382" s="18"/>
      <c r="C382" s="18" t="s">
        <v>732</v>
      </c>
      <c r="D382" s="19"/>
      <c r="E382" s="9"/>
      <c r="F382" s="21">
        <f>Source!AL253</f>
        <v>0.47</v>
      </c>
      <c r="G382" s="20" t="str">
        <f>Source!DD253</f>
        <v>)*2</v>
      </c>
      <c r="H382" s="9">
        <f>Source!AW253</f>
        <v>1</v>
      </c>
      <c r="I382" s="9">
        <f>IF(Source!BC253&lt;&gt; 0, Source!BC253, 1)</f>
        <v>1</v>
      </c>
      <c r="J382" s="21">
        <f>Source!P253</f>
        <v>0.94</v>
      </c>
      <c r="K382" s="21"/>
    </row>
    <row r="383" spans="1:22" ht="14.25" x14ac:dyDescent="0.2">
      <c r="A383" s="18"/>
      <c r="B383" s="18"/>
      <c r="C383" s="18" t="s">
        <v>733</v>
      </c>
      <c r="D383" s="19" t="s">
        <v>734</v>
      </c>
      <c r="E383" s="9">
        <f>Source!AT253</f>
        <v>70</v>
      </c>
      <c r="F383" s="21"/>
      <c r="G383" s="20"/>
      <c r="H383" s="9"/>
      <c r="I383" s="9"/>
      <c r="J383" s="21">
        <f>SUM(R378:R382)</f>
        <v>172.9</v>
      </c>
      <c r="K383" s="21"/>
    </row>
    <row r="384" spans="1:22" ht="14.25" x14ac:dyDescent="0.2">
      <c r="A384" s="18"/>
      <c r="B384" s="18"/>
      <c r="C384" s="18" t="s">
        <v>735</v>
      </c>
      <c r="D384" s="19" t="s">
        <v>734</v>
      </c>
      <c r="E384" s="9">
        <f>Source!AU253</f>
        <v>10</v>
      </c>
      <c r="F384" s="21"/>
      <c r="G384" s="20"/>
      <c r="H384" s="9"/>
      <c r="I384" s="9"/>
      <c r="J384" s="21">
        <f>SUM(T378:T383)</f>
        <v>24.7</v>
      </c>
      <c r="K384" s="21"/>
    </row>
    <row r="385" spans="1:22" ht="14.25" x14ac:dyDescent="0.2">
      <c r="A385" s="18"/>
      <c r="B385" s="18"/>
      <c r="C385" s="18" t="s">
        <v>740</v>
      </c>
      <c r="D385" s="19" t="s">
        <v>734</v>
      </c>
      <c r="E385" s="9">
        <f>108</f>
        <v>108</v>
      </c>
      <c r="F385" s="21"/>
      <c r="G385" s="20"/>
      <c r="H385" s="9"/>
      <c r="I385" s="9"/>
      <c r="J385" s="21">
        <f>SUM(V378:V384)</f>
        <v>35.68</v>
      </c>
      <c r="K385" s="21"/>
    </row>
    <row r="386" spans="1:22" ht="14.25" x14ac:dyDescent="0.2">
      <c r="A386" s="18"/>
      <c r="B386" s="18"/>
      <c r="C386" s="18" t="s">
        <v>736</v>
      </c>
      <c r="D386" s="19" t="s">
        <v>737</v>
      </c>
      <c r="E386" s="9">
        <f>Source!AQ253</f>
        <v>0.2</v>
      </c>
      <c r="F386" s="21"/>
      <c r="G386" s="20" t="str">
        <f>Source!DI253</f>
        <v>)*2</v>
      </c>
      <c r="H386" s="9">
        <f>Source!AV253</f>
        <v>1</v>
      </c>
      <c r="I386" s="9"/>
      <c r="J386" s="21"/>
      <c r="K386" s="21">
        <f>Source!U253</f>
        <v>0.4</v>
      </c>
    </row>
    <row r="387" spans="1:22" ht="15" x14ac:dyDescent="0.25">
      <c r="A387" s="23"/>
      <c r="B387" s="23"/>
      <c r="C387" s="23"/>
      <c r="D387" s="23"/>
      <c r="E387" s="23"/>
      <c r="F387" s="23"/>
      <c r="G387" s="23"/>
      <c r="H387" s="23"/>
      <c r="I387" s="51">
        <f>J379+J380+J382+J383+J384+J385</f>
        <v>533.34</v>
      </c>
      <c r="J387" s="51"/>
      <c r="K387" s="24">
        <f>IF(Source!I253&lt;&gt;0, ROUND(I387/Source!I253, 2), 0)</f>
        <v>533.34</v>
      </c>
      <c r="P387" s="22">
        <f>I387</f>
        <v>533.34</v>
      </c>
    </row>
    <row r="389" spans="1:22" ht="15" customHeight="1" x14ac:dyDescent="0.25">
      <c r="A389" s="54" t="str">
        <f>CONCATENATE("Итого по разделу: ",IF(Source!G262&lt;&gt;"Новый раздел", Source!G262, ""))</f>
        <v>Итого по разделу: Раздел: 3. Вентиляция и теплоснабжение приточных установок</v>
      </c>
      <c r="B389" s="54"/>
      <c r="C389" s="54"/>
      <c r="D389" s="54"/>
      <c r="E389" s="54"/>
      <c r="F389" s="54"/>
      <c r="G389" s="54"/>
      <c r="H389" s="54"/>
      <c r="I389" s="53">
        <f>SUM(P343:P388)</f>
        <v>88769</v>
      </c>
      <c r="J389" s="53"/>
      <c r="K389" s="26"/>
    </row>
    <row r="392" spans="1:22" ht="16.5" customHeight="1" x14ac:dyDescent="0.25">
      <c r="A392" s="50" t="str">
        <f>CONCATENATE("Раздел: ",IF(Source!G292&lt;&gt;"Новый раздел", Source!G292, ""))</f>
        <v>Раздел: Раздел: 4. Электроосвещение и электрооборудование</v>
      </c>
      <c r="B392" s="50"/>
      <c r="C392" s="50"/>
      <c r="D392" s="50"/>
      <c r="E392" s="50"/>
      <c r="F392" s="50"/>
      <c r="G392" s="50"/>
      <c r="H392" s="50"/>
      <c r="I392" s="50"/>
      <c r="J392" s="50"/>
      <c r="K392" s="50"/>
    </row>
    <row r="394" spans="1:22" ht="16.5" customHeight="1" x14ac:dyDescent="0.25">
      <c r="A394" s="50" t="str">
        <f>CONCATENATE("Подраздел: ",IF(Source!G296&lt;&gt;"Новый подраздел", Source!G296, ""))</f>
        <v>Подраздел: 4.1 Электроосвещение и электрооборудование</v>
      </c>
      <c r="B394" s="50"/>
      <c r="C394" s="50"/>
      <c r="D394" s="50"/>
      <c r="E394" s="50"/>
      <c r="F394" s="50"/>
      <c r="G394" s="50"/>
      <c r="H394" s="50"/>
      <c r="I394" s="50"/>
      <c r="J394" s="50"/>
      <c r="K394" s="50"/>
    </row>
    <row r="395" spans="1:22" ht="57" x14ac:dyDescent="0.2">
      <c r="A395" s="18">
        <v>43</v>
      </c>
      <c r="B395" s="18" t="str">
        <f>Source!F300</f>
        <v>1.21-2203-8-2/1</v>
      </c>
      <c r="C395" s="18" t="str">
        <f>Source!G300</f>
        <v>Техническое обслуживание ящика ввода распределительного с рубильником и предохранителями, номинальный ток 600 А</v>
      </c>
      <c r="D395" s="19" t="str">
        <f>Source!H300</f>
        <v>шт.</v>
      </c>
      <c r="E395" s="9">
        <f>Source!I300</f>
        <v>2</v>
      </c>
      <c r="F395" s="21"/>
      <c r="G395" s="20"/>
      <c r="H395" s="9"/>
      <c r="I395" s="9"/>
      <c r="J395" s="21"/>
      <c r="K395" s="21"/>
      <c r="Q395">
        <f>ROUND((Source!BZ300/100)*ROUND((Source!AF300*Source!AV300)*Source!I300, 2), 2)</f>
        <v>7780.37</v>
      </c>
      <c r="R395">
        <f>Source!X300</f>
        <v>7780.37</v>
      </c>
      <c r="S395">
        <f>ROUND((Source!CA300/100)*ROUND((Source!AF300*Source!AV300)*Source!I300, 2), 2)</f>
        <v>1111.48</v>
      </c>
      <c r="T395">
        <f>Source!Y300</f>
        <v>1111.48</v>
      </c>
      <c r="U395">
        <f>ROUND((175/100)*ROUND((Source!AE300*Source!AV300)*Source!I300, 2), 2)</f>
        <v>0</v>
      </c>
      <c r="V395">
        <f>ROUND((108/100)*ROUND(Source!CS300*Source!I300, 2), 2)</f>
        <v>0</v>
      </c>
    </row>
    <row r="396" spans="1:22" ht="14.25" x14ac:dyDescent="0.2">
      <c r="A396" s="18"/>
      <c r="B396" s="18"/>
      <c r="C396" s="18" t="s">
        <v>731</v>
      </c>
      <c r="D396" s="19"/>
      <c r="E396" s="9"/>
      <c r="F396" s="21">
        <f>Source!AO300</f>
        <v>5557.41</v>
      </c>
      <c r="G396" s="20" t="str">
        <f>Source!DG300</f>
        <v/>
      </c>
      <c r="H396" s="9">
        <f>Source!AV300</f>
        <v>1</v>
      </c>
      <c r="I396" s="9">
        <f>IF(Source!BA300&lt;&gt; 0, Source!BA300, 1)</f>
        <v>1</v>
      </c>
      <c r="J396" s="21">
        <f>Source!S300</f>
        <v>11114.82</v>
      </c>
      <c r="K396" s="21"/>
    </row>
    <row r="397" spans="1:22" ht="14.25" x14ac:dyDescent="0.2">
      <c r="A397" s="18"/>
      <c r="B397" s="18"/>
      <c r="C397" s="18" t="s">
        <v>732</v>
      </c>
      <c r="D397" s="19"/>
      <c r="E397" s="9"/>
      <c r="F397" s="21">
        <f>Source!AL300</f>
        <v>77.08</v>
      </c>
      <c r="G397" s="20" t="str">
        <f>Source!DD300</f>
        <v/>
      </c>
      <c r="H397" s="9">
        <f>Source!AW300</f>
        <v>1</v>
      </c>
      <c r="I397" s="9">
        <f>IF(Source!BC300&lt;&gt; 0, Source!BC300, 1)</f>
        <v>1</v>
      </c>
      <c r="J397" s="21">
        <f>Source!P300</f>
        <v>154.16</v>
      </c>
      <c r="K397" s="21"/>
    </row>
    <row r="398" spans="1:22" ht="14.25" x14ac:dyDescent="0.2">
      <c r="A398" s="18"/>
      <c r="B398" s="18"/>
      <c r="C398" s="18" t="s">
        <v>733</v>
      </c>
      <c r="D398" s="19" t="s">
        <v>734</v>
      </c>
      <c r="E398" s="9">
        <f>Source!AT300</f>
        <v>70</v>
      </c>
      <c r="F398" s="21"/>
      <c r="G398" s="20"/>
      <c r="H398" s="9"/>
      <c r="I398" s="9"/>
      <c r="J398" s="21">
        <f>SUM(R395:R397)</f>
        <v>7780.37</v>
      </c>
      <c r="K398" s="21"/>
    </row>
    <row r="399" spans="1:22" ht="14.25" x14ac:dyDescent="0.2">
      <c r="A399" s="18"/>
      <c r="B399" s="18"/>
      <c r="C399" s="18" t="s">
        <v>735</v>
      </c>
      <c r="D399" s="19" t="s">
        <v>734</v>
      </c>
      <c r="E399" s="9">
        <f>Source!AU300</f>
        <v>10</v>
      </c>
      <c r="F399" s="21"/>
      <c r="G399" s="20"/>
      <c r="H399" s="9"/>
      <c r="I399" s="9"/>
      <c r="J399" s="21">
        <f>SUM(T395:T398)</f>
        <v>1111.48</v>
      </c>
      <c r="K399" s="21"/>
    </row>
    <row r="400" spans="1:22" ht="14.25" x14ac:dyDescent="0.2">
      <c r="A400" s="18"/>
      <c r="B400" s="18"/>
      <c r="C400" s="18" t="s">
        <v>736</v>
      </c>
      <c r="D400" s="19" t="s">
        <v>737</v>
      </c>
      <c r="E400" s="9">
        <f>Source!AQ300</f>
        <v>9</v>
      </c>
      <c r="F400" s="21"/>
      <c r="G400" s="20" t="str">
        <f>Source!DI300</f>
        <v/>
      </c>
      <c r="H400" s="9">
        <f>Source!AV300</f>
        <v>1</v>
      </c>
      <c r="I400" s="9"/>
      <c r="J400" s="21"/>
      <c r="K400" s="21">
        <f>Source!U300</f>
        <v>18</v>
      </c>
    </row>
    <row r="401" spans="1:22" ht="15" x14ac:dyDescent="0.25">
      <c r="A401" s="23"/>
      <c r="B401" s="23"/>
      <c r="C401" s="23"/>
      <c r="D401" s="23"/>
      <c r="E401" s="23"/>
      <c r="F401" s="23"/>
      <c r="G401" s="23"/>
      <c r="H401" s="23"/>
      <c r="I401" s="51">
        <f>J396+J397+J398+J399</f>
        <v>20160.829999999998</v>
      </c>
      <c r="J401" s="51"/>
      <c r="K401" s="24">
        <f>IF(Source!I300&lt;&gt;0, ROUND(I401/Source!I300, 2), 0)</f>
        <v>10080.42</v>
      </c>
      <c r="P401" s="22">
        <f>I401</f>
        <v>20160.829999999998</v>
      </c>
    </row>
    <row r="402" spans="1:22" ht="57" x14ac:dyDescent="0.2">
      <c r="A402" s="18">
        <v>44</v>
      </c>
      <c r="B402" s="18" t="str">
        <f>Source!F304</f>
        <v>1.21-2203-2-3/1</v>
      </c>
      <c r="C402" s="18" t="str">
        <f>Source!G304</f>
        <v>Техническое обслуживание силового распределительного пункта с установочными автоматами, число групп 8 (РП1, РП2)</v>
      </c>
      <c r="D402" s="19" t="str">
        <f>Source!H304</f>
        <v>шт.</v>
      </c>
      <c r="E402" s="9">
        <f>Source!I304</f>
        <v>2</v>
      </c>
      <c r="F402" s="21"/>
      <c r="G402" s="20"/>
      <c r="H402" s="9"/>
      <c r="I402" s="9"/>
      <c r="J402" s="21"/>
      <c r="K402" s="21"/>
      <c r="Q402">
        <f>ROUND((Source!BZ304/100)*ROUND((Source!AF304*Source!AV304)*Source!I304, 2), 2)</f>
        <v>12967.29</v>
      </c>
      <c r="R402">
        <f>Source!X304</f>
        <v>12967.29</v>
      </c>
      <c r="S402">
        <f>ROUND((Source!CA304/100)*ROUND((Source!AF304*Source!AV304)*Source!I304, 2), 2)</f>
        <v>1852.47</v>
      </c>
      <c r="T402">
        <f>Source!Y304</f>
        <v>1852.47</v>
      </c>
      <c r="U402">
        <f>ROUND((175/100)*ROUND((Source!AE304*Source!AV304)*Source!I304, 2), 2)</f>
        <v>0</v>
      </c>
      <c r="V402">
        <f>ROUND((108/100)*ROUND(Source!CS304*Source!I304, 2), 2)</f>
        <v>0</v>
      </c>
    </row>
    <row r="403" spans="1:22" ht="14.25" x14ac:dyDescent="0.2">
      <c r="A403" s="18"/>
      <c r="B403" s="18"/>
      <c r="C403" s="18" t="s">
        <v>731</v>
      </c>
      <c r="D403" s="19"/>
      <c r="E403" s="9"/>
      <c r="F403" s="21">
        <f>Source!AO304</f>
        <v>9262.35</v>
      </c>
      <c r="G403" s="20" t="str">
        <f>Source!DG304</f>
        <v/>
      </c>
      <c r="H403" s="9">
        <f>Source!AV304</f>
        <v>1</v>
      </c>
      <c r="I403" s="9">
        <f>IF(Source!BA304&lt;&gt; 0, Source!BA304, 1)</f>
        <v>1</v>
      </c>
      <c r="J403" s="21">
        <f>Source!S304</f>
        <v>18524.7</v>
      </c>
      <c r="K403" s="21"/>
    </row>
    <row r="404" spans="1:22" ht="14.25" x14ac:dyDescent="0.2">
      <c r="A404" s="18"/>
      <c r="B404" s="18"/>
      <c r="C404" s="18" t="s">
        <v>732</v>
      </c>
      <c r="D404" s="19"/>
      <c r="E404" s="9"/>
      <c r="F404" s="21">
        <f>Source!AL304</f>
        <v>128.44999999999999</v>
      </c>
      <c r="G404" s="20" t="str">
        <f>Source!DD304</f>
        <v/>
      </c>
      <c r="H404" s="9">
        <f>Source!AW304</f>
        <v>1</v>
      </c>
      <c r="I404" s="9">
        <f>IF(Source!BC304&lt;&gt; 0, Source!BC304, 1)</f>
        <v>1</v>
      </c>
      <c r="J404" s="21">
        <f>Source!P304</f>
        <v>256.89999999999998</v>
      </c>
      <c r="K404" s="21"/>
    </row>
    <row r="405" spans="1:22" ht="14.25" x14ac:dyDescent="0.2">
      <c r="A405" s="18"/>
      <c r="B405" s="18"/>
      <c r="C405" s="18" t="s">
        <v>733</v>
      </c>
      <c r="D405" s="19" t="s">
        <v>734</v>
      </c>
      <c r="E405" s="9">
        <f>Source!AT304</f>
        <v>70</v>
      </c>
      <c r="F405" s="21"/>
      <c r="G405" s="20"/>
      <c r="H405" s="9"/>
      <c r="I405" s="9"/>
      <c r="J405" s="21">
        <f>SUM(R402:R404)</f>
        <v>12967.29</v>
      </c>
      <c r="K405" s="21"/>
    </row>
    <row r="406" spans="1:22" ht="14.25" x14ac:dyDescent="0.2">
      <c r="A406" s="18"/>
      <c r="B406" s="18"/>
      <c r="C406" s="18" t="s">
        <v>735</v>
      </c>
      <c r="D406" s="19" t="s">
        <v>734</v>
      </c>
      <c r="E406" s="9">
        <f>Source!AU304</f>
        <v>10</v>
      </c>
      <c r="F406" s="21"/>
      <c r="G406" s="20"/>
      <c r="H406" s="9"/>
      <c r="I406" s="9"/>
      <c r="J406" s="21">
        <f>SUM(T402:T405)</f>
        <v>1852.47</v>
      </c>
      <c r="K406" s="21"/>
    </row>
    <row r="407" spans="1:22" ht="14.25" x14ac:dyDescent="0.2">
      <c r="A407" s="18"/>
      <c r="B407" s="18"/>
      <c r="C407" s="18" t="s">
        <v>736</v>
      </c>
      <c r="D407" s="19" t="s">
        <v>737</v>
      </c>
      <c r="E407" s="9">
        <f>Source!AQ304</f>
        <v>15</v>
      </c>
      <c r="F407" s="21"/>
      <c r="G407" s="20" t="str">
        <f>Source!DI304</f>
        <v/>
      </c>
      <c r="H407" s="9">
        <f>Source!AV304</f>
        <v>1</v>
      </c>
      <c r="I407" s="9"/>
      <c r="J407" s="21"/>
      <c r="K407" s="21">
        <f>Source!U304</f>
        <v>30</v>
      </c>
    </row>
    <row r="408" spans="1:22" ht="15" x14ac:dyDescent="0.25">
      <c r="A408" s="23"/>
      <c r="B408" s="23"/>
      <c r="C408" s="23"/>
      <c r="D408" s="23"/>
      <c r="E408" s="23"/>
      <c r="F408" s="23"/>
      <c r="G408" s="23"/>
      <c r="H408" s="23"/>
      <c r="I408" s="51">
        <f>J403+J404+J405+J406</f>
        <v>33601.360000000001</v>
      </c>
      <c r="J408" s="51"/>
      <c r="K408" s="24">
        <f>IF(Source!I304&lt;&gt;0, ROUND(I408/Source!I304, 2), 0)</f>
        <v>16800.68</v>
      </c>
      <c r="P408" s="22">
        <f>I408</f>
        <v>33601.360000000001</v>
      </c>
    </row>
    <row r="409" spans="1:22" ht="57" x14ac:dyDescent="0.2">
      <c r="A409" s="18">
        <v>45</v>
      </c>
      <c r="B409" s="18" t="str">
        <f>Source!F306</f>
        <v>1.21-2203-2-5/1</v>
      </c>
      <c r="C409" s="18" t="str">
        <f>Source!G306</f>
        <v>Техническое обслуживание силового распределительного пункта с установочными автоматами, число групп 12</v>
      </c>
      <c r="D409" s="19" t="str">
        <f>Source!H306</f>
        <v>шт.</v>
      </c>
      <c r="E409" s="9">
        <f>Source!I306</f>
        <v>1</v>
      </c>
      <c r="F409" s="21"/>
      <c r="G409" s="20"/>
      <c r="H409" s="9"/>
      <c r="I409" s="9"/>
      <c r="J409" s="21"/>
      <c r="K409" s="21"/>
      <c r="Q409">
        <f>ROUND((Source!BZ306/100)*ROUND((Source!AF306*Source!AV306)*Source!I306, 2), 2)</f>
        <v>10373.83</v>
      </c>
      <c r="R409">
        <f>Source!X306</f>
        <v>10373.83</v>
      </c>
      <c r="S409">
        <f>ROUND((Source!CA306/100)*ROUND((Source!AF306*Source!AV306)*Source!I306, 2), 2)</f>
        <v>1481.98</v>
      </c>
      <c r="T409">
        <f>Source!Y306</f>
        <v>1481.98</v>
      </c>
      <c r="U409">
        <f>ROUND((175/100)*ROUND((Source!AE306*Source!AV306)*Source!I306, 2), 2)</f>
        <v>0</v>
      </c>
      <c r="V409">
        <f>ROUND((108/100)*ROUND(Source!CS306*Source!I306, 2), 2)</f>
        <v>0</v>
      </c>
    </row>
    <row r="410" spans="1:22" ht="14.25" x14ac:dyDescent="0.2">
      <c r="A410" s="18"/>
      <c r="B410" s="18"/>
      <c r="C410" s="18" t="s">
        <v>731</v>
      </c>
      <c r="D410" s="19"/>
      <c r="E410" s="9"/>
      <c r="F410" s="21">
        <f>Source!AO306</f>
        <v>14819.76</v>
      </c>
      <c r="G410" s="20" t="str">
        <f>Source!DG306</f>
        <v/>
      </c>
      <c r="H410" s="9">
        <f>Source!AV306</f>
        <v>1</v>
      </c>
      <c r="I410" s="9">
        <f>IF(Source!BA306&lt;&gt; 0, Source!BA306, 1)</f>
        <v>1</v>
      </c>
      <c r="J410" s="21">
        <f>Source!S306</f>
        <v>14819.76</v>
      </c>
      <c r="K410" s="21"/>
    </row>
    <row r="411" spans="1:22" ht="14.25" x14ac:dyDescent="0.2">
      <c r="A411" s="18"/>
      <c r="B411" s="18"/>
      <c r="C411" s="18" t="s">
        <v>732</v>
      </c>
      <c r="D411" s="19"/>
      <c r="E411" s="9"/>
      <c r="F411" s="21">
        <f>Source!AL306</f>
        <v>205.53</v>
      </c>
      <c r="G411" s="20" t="str">
        <f>Source!DD306</f>
        <v/>
      </c>
      <c r="H411" s="9">
        <f>Source!AW306</f>
        <v>1</v>
      </c>
      <c r="I411" s="9">
        <f>IF(Source!BC306&lt;&gt; 0, Source!BC306, 1)</f>
        <v>1</v>
      </c>
      <c r="J411" s="21">
        <f>Source!P306</f>
        <v>205.53</v>
      </c>
      <c r="K411" s="21"/>
    </row>
    <row r="412" spans="1:22" ht="14.25" x14ac:dyDescent="0.2">
      <c r="A412" s="18"/>
      <c r="B412" s="18"/>
      <c r="C412" s="18" t="s">
        <v>733</v>
      </c>
      <c r="D412" s="19" t="s">
        <v>734</v>
      </c>
      <c r="E412" s="9">
        <f>Source!AT306</f>
        <v>70</v>
      </c>
      <c r="F412" s="21"/>
      <c r="G412" s="20"/>
      <c r="H412" s="9"/>
      <c r="I412" s="9"/>
      <c r="J412" s="21">
        <f>SUM(R409:R411)</f>
        <v>10373.83</v>
      </c>
      <c r="K412" s="21"/>
    </row>
    <row r="413" spans="1:22" ht="14.25" x14ac:dyDescent="0.2">
      <c r="A413" s="18"/>
      <c r="B413" s="18"/>
      <c r="C413" s="18" t="s">
        <v>735</v>
      </c>
      <c r="D413" s="19" t="s">
        <v>734</v>
      </c>
      <c r="E413" s="9">
        <f>Source!AU306</f>
        <v>10</v>
      </c>
      <c r="F413" s="21"/>
      <c r="G413" s="20"/>
      <c r="H413" s="9"/>
      <c r="I413" s="9"/>
      <c r="J413" s="21">
        <f>SUM(T409:T412)</f>
        <v>1481.98</v>
      </c>
      <c r="K413" s="21"/>
    </row>
    <row r="414" spans="1:22" ht="14.25" x14ac:dyDescent="0.2">
      <c r="A414" s="18"/>
      <c r="B414" s="18"/>
      <c r="C414" s="18" t="s">
        <v>736</v>
      </c>
      <c r="D414" s="19" t="s">
        <v>737</v>
      </c>
      <c r="E414" s="9">
        <f>Source!AQ306</f>
        <v>24</v>
      </c>
      <c r="F414" s="21"/>
      <c r="G414" s="20" t="str">
        <f>Source!DI306</f>
        <v/>
      </c>
      <c r="H414" s="9">
        <f>Source!AV306</f>
        <v>1</v>
      </c>
      <c r="I414" s="9"/>
      <c r="J414" s="21"/>
      <c r="K414" s="21">
        <f>Source!U306</f>
        <v>24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51">
        <f>J410+J411+J412+J413</f>
        <v>26881.100000000002</v>
      </c>
      <c r="J415" s="51"/>
      <c r="K415" s="24">
        <f>IF(Source!I306&lt;&gt;0, ROUND(I415/Source!I306, 2), 0)</f>
        <v>26881.1</v>
      </c>
      <c r="P415" s="22">
        <f>I415</f>
        <v>26881.100000000002</v>
      </c>
    </row>
    <row r="416" spans="1:22" ht="85.5" x14ac:dyDescent="0.2">
      <c r="A416" s="18">
        <v>46</v>
      </c>
      <c r="B416" s="18" t="str">
        <f>Source!F308</f>
        <v>1.21-2203-37-1/1</v>
      </c>
      <c r="C416" s="18" t="str">
        <f>Source!G308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416" s="19" t="str">
        <f>Source!H308</f>
        <v>шт.</v>
      </c>
      <c r="E416" s="9">
        <f>Source!I308</f>
        <v>3</v>
      </c>
      <c r="F416" s="21"/>
      <c r="G416" s="20"/>
      <c r="H416" s="9"/>
      <c r="I416" s="9"/>
      <c r="J416" s="21"/>
      <c r="K416" s="21"/>
      <c r="Q416">
        <f>ROUND((Source!BZ308/100)*ROUND((Source!AF308*Source!AV308)*Source!I308, 2), 2)</f>
        <v>708.35</v>
      </c>
      <c r="R416">
        <f>Source!X308</f>
        <v>708.35</v>
      </c>
      <c r="S416">
        <f>ROUND((Source!CA308/100)*ROUND((Source!AF308*Source!AV308)*Source!I308, 2), 2)</f>
        <v>101.19</v>
      </c>
      <c r="T416">
        <f>Source!Y308</f>
        <v>101.19</v>
      </c>
      <c r="U416">
        <f>ROUND((175/100)*ROUND((Source!AE308*Source!AV308)*Source!I308, 2), 2)</f>
        <v>0</v>
      </c>
      <c r="V416">
        <f>ROUND((108/100)*ROUND(Source!CS308*Source!I308, 2), 2)</f>
        <v>0</v>
      </c>
    </row>
    <row r="417" spans="1:22" x14ac:dyDescent="0.2">
      <c r="C417" s="25" t="str">
        <f>"Объем: "&amp;Source!I308&amp;"=2+"&amp;"1"</f>
        <v>Объем: 3=2+1</v>
      </c>
    </row>
    <row r="418" spans="1:22" ht="14.25" x14ac:dyDescent="0.2">
      <c r="A418" s="18"/>
      <c r="B418" s="18"/>
      <c r="C418" s="18" t="s">
        <v>731</v>
      </c>
      <c r="D418" s="19"/>
      <c r="E418" s="9"/>
      <c r="F418" s="21">
        <f>Source!AO308</f>
        <v>337.31</v>
      </c>
      <c r="G418" s="20" t="str">
        <f>Source!DG308</f>
        <v/>
      </c>
      <c r="H418" s="9">
        <f>Source!AV308</f>
        <v>1</v>
      </c>
      <c r="I418" s="9">
        <f>IF(Source!BA308&lt;&gt; 0, Source!BA308, 1)</f>
        <v>1</v>
      </c>
      <c r="J418" s="21">
        <f>Source!S308</f>
        <v>1011.93</v>
      </c>
      <c r="K418" s="21"/>
    </row>
    <row r="419" spans="1:22" ht="14.25" x14ac:dyDescent="0.2">
      <c r="A419" s="18"/>
      <c r="B419" s="18"/>
      <c r="C419" s="18" t="s">
        <v>732</v>
      </c>
      <c r="D419" s="19"/>
      <c r="E419" s="9"/>
      <c r="F419" s="21">
        <f>Source!AL308</f>
        <v>1.57</v>
      </c>
      <c r="G419" s="20" t="str">
        <f>Source!DD308</f>
        <v/>
      </c>
      <c r="H419" s="9">
        <f>Source!AW308</f>
        <v>1</v>
      </c>
      <c r="I419" s="9">
        <f>IF(Source!BC308&lt;&gt; 0, Source!BC308, 1)</f>
        <v>1</v>
      </c>
      <c r="J419" s="21">
        <f>Source!P308</f>
        <v>4.71</v>
      </c>
      <c r="K419" s="21"/>
    </row>
    <row r="420" spans="1:22" ht="14.25" x14ac:dyDescent="0.2">
      <c r="A420" s="18"/>
      <c r="B420" s="18"/>
      <c r="C420" s="18" t="s">
        <v>733</v>
      </c>
      <c r="D420" s="19" t="s">
        <v>734</v>
      </c>
      <c r="E420" s="9">
        <f>Source!AT308</f>
        <v>70</v>
      </c>
      <c r="F420" s="21"/>
      <c r="G420" s="20"/>
      <c r="H420" s="9"/>
      <c r="I420" s="9"/>
      <c r="J420" s="21">
        <f>SUM(R416:R419)</f>
        <v>708.35</v>
      </c>
      <c r="K420" s="21"/>
    </row>
    <row r="421" spans="1:22" ht="14.25" x14ac:dyDescent="0.2">
      <c r="A421" s="18"/>
      <c r="B421" s="18"/>
      <c r="C421" s="18" t="s">
        <v>735</v>
      </c>
      <c r="D421" s="19" t="s">
        <v>734</v>
      </c>
      <c r="E421" s="9">
        <f>Source!AU308</f>
        <v>10</v>
      </c>
      <c r="F421" s="21"/>
      <c r="G421" s="20"/>
      <c r="H421" s="9"/>
      <c r="I421" s="9"/>
      <c r="J421" s="21">
        <f>SUM(T416:T420)</f>
        <v>101.19</v>
      </c>
      <c r="K421" s="21"/>
    </row>
    <row r="422" spans="1:22" ht="14.25" x14ac:dyDescent="0.2">
      <c r="A422" s="18"/>
      <c r="B422" s="18"/>
      <c r="C422" s="18" t="s">
        <v>736</v>
      </c>
      <c r="D422" s="19" t="s">
        <v>737</v>
      </c>
      <c r="E422" s="9">
        <f>Source!AQ308</f>
        <v>0.6</v>
      </c>
      <c r="F422" s="21"/>
      <c r="G422" s="20" t="str">
        <f>Source!DI308</f>
        <v/>
      </c>
      <c r="H422" s="9">
        <f>Source!AV308</f>
        <v>1</v>
      </c>
      <c r="I422" s="9"/>
      <c r="J422" s="21"/>
      <c r="K422" s="21">
        <f>Source!U308</f>
        <v>1.7999999999999998</v>
      </c>
    </row>
    <row r="423" spans="1:22" ht="15" x14ac:dyDescent="0.25">
      <c r="A423" s="23"/>
      <c r="B423" s="23"/>
      <c r="C423" s="23"/>
      <c r="D423" s="23"/>
      <c r="E423" s="23"/>
      <c r="F423" s="23"/>
      <c r="G423" s="23"/>
      <c r="H423" s="23"/>
      <c r="I423" s="51">
        <f>J418+J419+J420+J421</f>
        <v>1826.18</v>
      </c>
      <c r="J423" s="51"/>
      <c r="K423" s="24">
        <f>IF(Source!I308&lt;&gt;0, ROUND(I423/Source!I308, 2), 0)</f>
        <v>608.73</v>
      </c>
      <c r="P423" s="22">
        <f>I423</f>
        <v>1826.18</v>
      </c>
    </row>
    <row r="424" spans="1:22" ht="42.75" x14ac:dyDescent="0.2">
      <c r="A424" s="18">
        <v>47</v>
      </c>
      <c r="B424" s="18" t="str">
        <f>Source!F311</f>
        <v>1.21-2203-1-2/1</v>
      </c>
      <c r="C424" s="18" t="str">
        <f>Source!G311</f>
        <v>Техническое обслуживание распределительных коробок (щитков), с автоматами /Щит ЩУОК</v>
      </c>
      <c r="D424" s="19" t="str">
        <f>Source!H311</f>
        <v>шт.</v>
      </c>
      <c r="E424" s="9">
        <f>Source!I311</f>
        <v>1</v>
      </c>
      <c r="F424" s="21"/>
      <c r="G424" s="20"/>
      <c r="H424" s="9"/>
      <c r="I424" s="9"/>
      <c r="J424" s="21"/>
      <c r="K424" s="21"/>
      <c r="Q424">
        <f>ROUND((Source!BZ311/100)*ROUND((Source!AF311*Source!AV311)*Source!I311, 2), 2)</f>
        <v>1296.73</v>
      </c>
      <c r="R424">
        <f>Source!X311</f>
        <v>1296.73</v>
      </c>
      <c r="S424">
        <f>ROUND((Source!CA311/100)*ROUND((Source!AF311*Source!AV311)*Source!I311, 2), 2)</f>
        <v>185.25</v>
      </c>
      <c r="T424">
        <f>Source!Y311</f>
        <v>185.25</v>
      </c>
      <c r="U424">
        <f>ROUND((175/100)*ROUND((Source!AE311*Source!AV311)*Source!I311, 2), 2)</f>
        <v>0</v>
      </c>
      <c r="V424">
        <f>ROUND((108/100)*ROUND(Source!CS311*Source!I311, 2), 2)</f>
        <v>0</v>
      </c>
    </row>
    <row r="425" spans="1:22" ht="14.25" x14ac:dyDescent="0.2">
      <c r="A425" s="18"/>
      <c r="B425" s="18"/>
      <c r="C425" s="18" t="s">
        <v>731</v>
      </c>
      <c r="D425" s="19"/>
      <c r="E425" s="9"/>
      <c r="F425" s="21">
        <f>Source!AO311</f>
        <v>1852.47</v>
      </c>
      <c r="G425" s="20" t="str">
        <f>Source!DG311</f>
        <v/>
      </c>
      <c r="H425" s="9">
        <f>Source!AV311</f>
        <v>1</v>
      </c>
      <c r="I425" s="9">
        <f>IF(Source!BA311&lt;&gt; 0, Source!BA311, 1)</f>
        <v>1</v>
      </c>
      <c r="J425" s="21">
        <f>Source!S311</f>
        <v>1852.47</v>
      </c>
      <c r="K425" s="21"/>
    </row>
    <row r="426" spans="1:22" ht="14.25" x14ac:dyDescent="0.2">
      <c r="A426" s="18"/>
      <c r="B426" s="18"/>
      <c r="C426" s="18" t="s">
        <v>732</v>
      </c>
      <c r="D426" s="19"/>
      <c r="E426" s="9"/>
      <c r="F426" s="21">
        <f>Source!AL311</f>
        <v>25.69</v>
      </c>
      <c r="G426" s="20" t="str">
        <f>Source!DD311</f>
        <v/>
      </c>
      <c r="H426" s="9">
        <f>Source!AW311</f>
        <v>1</v>
      </c>
      <c r="I426" s="9">
        <f>IF(Source!BC311&lt;&gt; 0, Source!BC311, 1)</f>
        <v>1</v>
      </c>
      <c r="J426" s="21">
        <f>Source!P311</f>
        <v>25.69</v>
      </c>
      <c r="K426" s="21"/>
    </row>
    <row r="427" spans="1:22" ht="14.25" x14ac:dyDescent="0.2">
      <c r="A427" s="18"/>
      <c r="B427" s="18"/>
      <c r="C427" s="18" t="s">
        <v>733</v>
      </c>
      <c r="D427" s="19" t="s">
        <v>734</v>
      </c>
      <c r="E427" s="9">
        <f>Source!AT311</f>
        <v>70</v>
      </c>
      <c r="F427" s="21"/>
      <c r="G427" s="20"/>
      <c r="H427" s="9"/>
      <c r="I427" s="9"/>
      <c r="J427" s="21">
        <f>SUM(R424:R426)</f>
        <v>1296.73</v>
      </c>
      <c r="K427" s="21"/>
    </row>
    <row r="428" spans="1:22" ht="14.25" x14ac:dyDescent="0.2">
      <c r="A428" s="18"/>
      <c r="B428" s="18"/>
      <c r="C428" s="18" t="s">
        <v>735</v>
      </c>
      <c r="D428" s="19" t="s">
        <v>734</v>
      </c>
      <c r="E428" s="9">
        <f>Source!AU311</f>
        <v>10</v>
      </c>
      <c r="F428" s="21"/>
      <c r="G428" s="20"/>
      <c r="H428" s="9"/>
      <c r="I428" s="9"/>
      <c r="J428" s="21">
        <f>SUM(T424:T427)</f>
        <v>185.25</v>
      </c>
      <c r="K428" s="21"/>
    </row>
    <row r="429" spans="1:22" ht="14.25" x14ac:dyDescent="0.2">
      <c r="A429" s="18"/>
      <c r="B429" s="18"/>
      <c r="C429" s="18" t="s">
        <v>736</v>
      </c>
      <c r="D429" s="19" t="s">
        <v>737</v>
      </c>
      <c r="E429" s="9">
        <f>Source!AQ311</f>
        <v>3</v>
      </c>
      <c r="F429" s="21"/>
      <c r="G429" s="20" t="str">
        <f>Source!DI311</f>
        <v/>
      </c>
      <c r="H429" s="9">
        <f>Source!AV311</f>
        <v>1</v>
      </c>
      <c r="I429" s="9"/>
      <c r="J429" s="21"/>
      <c r="K429" s="21">
        <f>Source!U311</f>
        <v>3</v>
      </c>
    </row>
    <row r="430" spans="1:22" ht="15" x14ac:dyDescent="0.25">
      <c r="A430" s="23"/>
      <c r="B430" s="23"/>
      <c r="C430" s="23"/>
      <c r="D430" s="23"/>
      <c r="E430" s="23"/>
      <c r="F430" s="23"/>
      <c r="G430" s="23"/>
      <c r="H430" s="23"/>
      <c r="I430" s="51">
        <f>J425+J426+J427+J428</f>
        <v>3360.1400000000003</v>
      </c>
      <c r="J430" s="51"/>
      <c r="K430" s="24">
        <f>IF(Source!I311&lt;&gt;0, ROUND(I430/Source!I311, 2), 0)</f>
        <v>3360.14</v>
      </c>
      <c r="P430" s="22">
        <f>I430</f>
        <v>3360.1400000000003</v>
      </c>
    </row>
    <row r="431" spans="1:22" ht="42.75" x14ac:dyDescent="0.2">
      <c r="A431" s="18">
        <v>48</v>
      </c>
      <c r="B431" s="18" t="str">
        <f>Source!F314</f>
        <v>1.21-2303-18-1/1</v>
      </c>
      <c r="C431" s="18" t="str">
        <f>Source!G314</f>
        <v>Техническое обслуживание переключателя универсального, число секций до 8</v>
      </c>
      <c r="D431" s="19" t="str">
        <f>Source!H314</f>
        <v>шт.</v>
      </c>
      <c r="E431" s="9">
        <f>Source!I314</f>
        <v>2</v>
      </c>
      <c r="F431" s="21"/>
      <c r="G431" s="20"/>
      <c r="H431" s="9"/>
      <c r="I431" s="9"/>
      <c r="J431" s="21"/>
      <c r="K431" s="21"/>
      <c r="Q431">
        <f>ROUND((Source!BZ314/100)*ROUND((Source!AF314*Source!AV314)*Source!I314, 2), 2)</f>
        <v>259.35000000000002</v>
      </c>
      <c r="R431">
        <f>Source!X314</f>
        <v>259.35000000000002</v>
      </c>
      <c r="S431">
        <f>ROUND((Source!CA314/100)*ROUND((Source!AF314*Source!AV314)*Source!I314, 2), 2)</f>
        <v>37.049999999999997</v>
      </c>
      <c r="T431">
        <f>Source!Y314</f>
        <v>37.049999999999997</v>
      </c>
      <c r="U431">
        <f>ROUND((175/100)*ROUND((Source!AE314*Source!AV314)*Source!I314, 2), 2)</f>
        <v>0</v>
      </c>
      <c r="V431">
        <f>ROUND((108/100)*ROUND(Source!CS314*Source!I314, 2), 2)</f>
        <v>0</v>
      </c>
    </row>
    <row r="432" spans="1:22" ht="14.25" x14ac:dyDescent="0.2">
      <c r="A432" s="18"/>
      <c r="B432" s="18"/>
      <c r="C432" s="18" t="s">
        <v>731</v>
      </c>
      <c r="D432" s="19"/>
      <c r="E432" s="9"/>
      <c r="F432" s="21">
        <f>Source!AO314</f>
        <v>185.25</v>
      </c>
      <c r="G432" s="20" t="str">
        <f>Source!DG314</f>
        <v/>
      </c>
      <c r="H432" s="9">
        <f>Source!AV314</f>
        <v>1</v>
      </c>
      <c r="I432" s="9">
        <f>IF(Source!BA314&lt;&gt; 0, Source!BA314, 1)</f>
        <v>1</v>
      </c>
      <c r="J432" s="21">
        <f>Source!S314</f>
        <v>370.5</v>
      </c>
      <c r="K432" s="21"/>
    </row>
    <row r="433" spans="1:22" ht="14.25" x14ac:dyDescent="0.2">
      <c r="A433" s="18"/>
      <c r="B433" s="18"/>
      <c r="C433" s="18" t="s">
        <v>733</v>
      </c>
      <c r="D433" s="19" t="s">
        <v>734</v>
      </c>
      <c r="E433" s="9">
        <f>Source!AT314</f>
        <v>70</v>
      </c>
      <c r="F433" s="21"/>
      <c r="G433" s="20"/>
      <c r="H433" s="9"/>
      <c r="I433" s="9"/>
      <c r="J433" s="21">
        <f>SUM(R431:R432)</f>
        <v>259.35000000000002</v>
      </c>
      <c r="K433" s="21"/>
    </row>
    <row r="434" spans="1:22" ht="14.25" x14ac:dyDescent="0.2">
      <c r="A434" s="18"/>
      <c r="B434" s="18"/>
      <c r="C434" s="18" t="s">
        <v>735</v>
      </c>
      <c r="D434" s="19" t="s">
        <v>734</v>
      </c>
      <c r="E434" s="9">
        <f>Source!AU314</f>
        <v>10</v>
      </c>
      <c r="F434" s="21"/>
      <c r="G434" s="20"/>
      <c r="H434" s="9"/>
      <c r="I434" s="9"/>
      <c r="J434" s="21">
        <f>SUM(T431:T433)</f>
        <v>37.049999999999997</v>
      </c>
      <c r="K434" s="21"/>
    </row>
    <row r="435" spans="1:22" ht="14.25" x14ac:dyDescent="0.2">
      <c r="A435" s="18"/>
      <c r="B435" s="18"/>
      <c r="C435" s="18" t="s">
        <v>736</v>
      </c>
      <c r="D435" s="19" t="s">
        <v>737</v>
      </c>
      <c r="E435" s="9">
        <f>Source!AQ314</f>
        <v>0.3</v>
      </c>
      <c r="F435" s="21"/>
      <c r="G435" s="20" t="str">
        <f>Source!DI314</f>
        <v/>
      </c>
      <c r="H435" s="9">
        <f>Source!AV314</f>
        <v>1</v>
      </c>
      <c r="I435" s="9"/>
      <c r="J435" s="21"/>
      <c r="K435" s="21">
        <f>Source!U314</f>
        <v>0.6</v>
      </c>
    </row>
    <row r="436" spans="1:22" ht="15" x14ac:dyDescent="0.25">
      <c r="A436" s="23"/>
      <c r="B436" s="23"/>
      <c r="C436" s="23"/>
      <c r="D436" s="23"/>
      <c r="E436" s="23"/>
      <c r="F436" s="23"/>
      <c r="G436" s="23"/>
      <c r="H436" s="23"/>
      <c r="I436" s="51">
        <f>J432+J433+J434</f>
        <v>666.9</v>
      </c>
      <c r="J436" s="51"/>
      <c r="K436" s="24">
        <f>IF(Source!I314&lt;&gt;0, ROUND(I436/Source!I314, 2), 0)</f>
        <v>333.45</v>
      </c>
      <c r="P436" s="22">
        <f>I436</f>
        <v>666.9</v>
      </c>
    </row>
    <row r="437" spans="1:22" ht="28.5" x14ac:dyDescent="0.2">
      <c r="A437" s="18">
        <v>49</v>
      </c>
      <c r="B437" s="18" t="str">
        <f>Source!F316</f>
        <v>1.21-2203-27-1/1</v>
      </c>
      <c r="C437" s="18" t="str">
        <f>Source!G316</f>
        <v>Техническое обслуживание контакторов номинальный ток до 160 А</v>
      </c>
      <c r="D437" s="19" t="str">
        <f>Source!H316</f>
        <v>шт.</v>
      </c>
      <c r="E437" s="9">
        <f>Source!I316</f>
        <v>7</v>
      </c>
      <c r="F437" s="21"/>
      <c r="G437" s="20"/>
      <c r="H437" s="9"/>
      <c r="I437" s="9"/>
      <c r="J437" s="21"/>
      <c r="K437" s="21"/>
      <c r="Q437">
        <f>ROUND((Source!BZ316/100)*ROUND((Source!AF316*Source!AV316)*Source!I316, 2), 2)</f>
        <v>1210.3</v>
      </c>
      <c r="R437">
        <f>Source!X316</f>
        <v>1210.3</v>
      </c>
      <c r="S437">
        <f>ROUND((Source!CA316/100)*ROUND((Source!AF316*Source!AV316)*Source!I316, 2), 2)</f>
        <v>172.9</v>
      </c>
      <c r="T437">
        <f>Source!Y316</f>
        <v>172.9</v>
      </c>
      <c r="U437">
        <f>ROUND((175/100)*ROUND((Source!AE316*Source!AV316)*Source!I316, 2), 2)</f>
        <v>0</v>
      </c>
      <c r="V437">
        <f>ROUND((108/100)*ROUND(Source!CS316*Source!I316, 2), 2)</f>
        <v>0</v>
      </c>
    </row>
    <row r="438" spans="1:22" ht="14.25" x14ac:dyDescent="0.2">
      <c r="A438" s="18"/>
      <c r="B438" s="18"/>
      <c r="C438" s="18" t="s">
        <v>731</v>
      </c>
      <c r="D438" s="19"/>
      <c r="E438" s="9"/>
      <c r="F438" s="21">
        <f>Source!AO316</f>
        <v>247</v>
      </c>
      <c r="G438" s="20" t="str">
        <f>Source!DG316</f>
        <v/>
      </c>
      <c r="H438" s="9">
        <f>Source!AV316</f>
        <v>1</v>
      </c>
      <c r="I438" s="9">
        <f>IF(Source!BA316&lt;&gt; 0, Source!BA316, 1)</f>
        <v>1</v>
      </c>
      <c r="J438" s="21">
        <f>Source!S316</f>
        <v>1729</v>
      </c>
      <c r="K438" s="21"/>
    </row>
    <row r="439" spans="1:22" ht="14.25" x14ac:dyDescent="0.2">
      <c r="A439" s="18"/>
      <c r="B439" s="18"/>
      <c r="C439" s="18" t="s">
        <v>732</v>
      </c>
      <c r="D439" s="19"/>
      <c r="E439" s="9"/>
      <c r="F439" s="21">
        <f>Source!AL316</f>
        <v>19.309999999999999</v>
      </c>
      <c r="G439" s="20" t="str">
        <f>Source!DD316</f>
        <v/>
      </c>
      <c r="H439" s="9">
        <f>Source!AW316</f>
        <v>1</v>
      </c>
      <c r="I439" s="9">
        <f>IF(Source!BC316&lt;&gt; 0, Source!BC316, 1)</f>
        <v>1</v>
      </c>
      <c r="J439" s="21">
        <f>Source!P316</f>
        <v>135.16999999999999</v>
      </c>
      <c r="K439" s="21"/>
    </row>
    <row r="440" spans="1:22" ht="14.25" x14ac:dyDescent="0.2">
      <c r="A440" s="18"/>
      <c r="B440" s="18"/>
      <c r="C440" s="18" t="s">
        <v>733</v>
      </c>
      <c r="D440" s="19" t="s">
        <v>734</v>
      </c>
      <c r="E440" s="9">
        <f>Source!AT316</f>
        <v>70</v>
      </c>
      <c r="F440" s="21"/>
      <c r="G440" s="20"/>
      <c r="H440" s="9"/>
      <c r="I440" s="9"/>
      <c r="J440" s="21">
        <f>SUM(R437:R439)</f>
        <v>1210.3</v>
      </c>
      <c r="K440" s="21"/>
    </row>
    <row r="441" spans="1:22" ht="14.25" x14ac:dyDescent="0.2">
      <c r="A441" s="18"/>
      <c r="B441" s="18"/>
      <c r="C441" s="18" t="s">
        <v>735</v>
      </c>
      <c r="D441" s="19" t="s">
        <v>734</v>
      </c>
      <c r="E441" s="9">
        <f>Source!AU316</f>
        <v>10</v>
      </c>
      <c r="F441" s="21"/>
      <c r="G441" s="20"/>
      <c r="H441" s="9"/>
      <c r="I441" s="9"/>
      <c r="J441" s="21">
        <f>SUM(T437:T440)</f>
        <v>172.9</v>
      </c>
      <c r="K441" s="21"/>
    </row>
    <row r="442" spans="1:22" ht="14.25" x14ac:dyDescent="0.2">
      <c r="A442" s="18"/>
      <c r="B442" s="18"/>
      <c r="C442" s="18" t="s">
        <v>736</v>
      </c>
      <c r="D442" s="19" t="s">
        <v>737</v>
      </c>
      <c r="E442" s="9">
        <f>Source!AQ316</f>
        <v>0.4</v>
      </c>
      <c r="F442" s="21"/>
      <c r="G442" s="20" t="str">
        <f>Source!DI316</f>
        <v/>
      </c>
      <c r="H442" s="9">
        <f>Source!AV316</f>
        <v>1</v>
      </c>
      <c r="I442" s="9"/>
      <c r="J442" s="21"/>
      <c r="K442" s="21">
        <f>Source!U316</f>
        <v>2.8000000000000003</v>
      </c>
    </row>
    <row r="443" spans="1:22" ht="15" x14ac:dyDescent="0.25">
      <c r="A443" s="23"/>
      <c r="B443" s="23"/>
      <c r="C443" s="23"/>
      <c r="D443" s="23"/>
      <c r="E443" s="23"/>
      <c r="F443" s="23"/>
      <c r="G443" s="23"/>
      <c r="H443" s="23"/>
      <c r="I443" s="51">
        <f>J438+J439+J440+J441</f>
        <v>3247.3700000000003</v>
      </c>
      <c r="J443" s="51"/>
      <c r="K443" s="24">
        <f>IF(Source!I316&lt;&gt;0, ROUND(I443/Source!I316, 2), 0)</f>
        <v>463.91</v>
      </c>
      <c r="P443" s="22">
        <f>I443</f>
        <v>3247.3700000000003</v>
      </c>
    </row>
    <row r="444" spans="1:22" ht="42.75" x14ac:dyDescent="0.2">
      <c r="A444" s="18">
        <v>50</v>
      </c>
      <c r="B444" s="18" t="str">
        <f>Source!F317</f>
        <v>1.23-2203-3-1/1</v>
      </c>
      <c r="C444" s="18" t="str">
        <f>Source!G317</f>
        <v>Техническое обслуживание светосигнальной арматуры с лампой накаливания, светодиодом</v>
      </c>
      <c r="D444" s="19" t="str">
        <f>Source!H317</f>
        <v>10 шт.</v>
      </c>
      <c r="E444" s="9">
        <f>Source!I317</f>
        <v>0.3</v>
      </c>
      <c r="F444" s="21"/>
      <c r="G444" s="20"/>
      <c r="H444" s="9"/>
      <c r="I444" s="9"/>
      <c r="J444" s="21"/>
      <c r="K444" s="21"/>
      <c r="Q444">
        <f>ROUND((Source!BZ317/100)*ROUND((Source!AF317*Source!AV317)*Source!I317, 2), 2)</f>
        <v>357.67</v>
      </c>
      <c r="R444">
        <f>Source!X317</f>
        <v>357.67</v>
      </c>
      <c r="S444">
        <f>ROUND((Source!CA317/100)*ROUND((Source!AF317*Source!AV317)*Source!I317, 2), 2)</f>
        <v>51.1</v>
      </c>
      <c r="T444">
        <f>Source!Y317</f>
        <v>51.1</v>
      </c>
      <c r="U444">
        <f>ROUND((175/100)*ROUND((Source!AE317*Source!AV317)*Source!I317, 2), 2)</f>
        <v>0</v>
      </c>
      <c r="V444">
        <f>ROUND((108/100)*ROUND(Source!CS317*Source!I317, 2), 2)</f>
        <v>0</v>
      </c>
    </row>
    <row r="445" spans="1:22" x14ac:dyDescent="0.2">
      <c r="C445" s="25" t="str">
        <f>"Объем: "&amp;Source!I317&amp;"=(3)/"&amp;"10"</f>
        <v>Объем: 0,3=(3)/10</v>
      </c>
    </row>
    <row r="446" spans="1:22" ht="14.25" x14ac:dyDescent="0.2">
      <c r="A446" s="18"/>
      <c r="B446" s="18"/>
      <c r="C446" s="18" t="s">
        <v>731</v>
      </c>
      <c r="D446" s="19"/>
      <c r="E446" s="9"/>
      <c r="F446" s="21">
        <f>Source!AO317</f>
        <v>1703.18</v>
      </c>
      <c r="G446" s="20" t="str">
        <f>Source!DG317</f>
        <v/>
      </c>
      <c r="H446" s="9">
        <f>Source!AV317</f>
        <v>1</v>
      </c>
      <c r="I446" s="9">
        <f>IF(Source!BA317&lt;&gt; 0, Source!BA317, 1)</f>
        <v>1</v>
      </c>
      <c r="J446" s="21">
        <f>Source!S317</f>
        <v>510.95</v>
      </c>
      <c r="K446" s="21"/>
    </row>
    <row r="447" spans="1:22" ht="14.25" x14ac:dyDescent="0.2">
      <c r="A447" s="18"/>
      <c r="B447" s="18"/>
      <c r="C447" s="18" t="s">
        <v>732</v>
      </c>
      <c r="D447" s="19"/>
      <c r="E447" s="9"/>
      <c r="F447" s="21">
        <f>Source!AL317</f>
        <v>80.67</v>
      </c>
      <c r="G447" s="20" t="str">
        <f>Source!DD317</f>
        <v/>
      </c>
      <c r="H447" s="9">
        <f>Source!AW317</f>
        <v>1</v>
      </c>
      <c r="I447" s="9">
        <f>IF(Source!BC317&lt;&gt; 0, Source!BC317, 1)</f>
        <v>1</v>
      </c>
      <c r="J447" s="21">
        <f>Source!P317</f>
        <v>24.2</v>
      </c>
      <c r="K447" s="21"/>
    </row>
    <row r="448" spans="1:22" ht="14.25" x14ac:dyDescent="0.2">
      <c r="A448" s="18"/>
      <c r="B448" s="18"/>
      <c r="C448" s="18" t="s">
        <v>733</v>
      </c>
      <c r="D448" s="19" t="s">
        <v>734</v>
      </c>
      <c r="E448" s="9">
        <f>Source!AT317</f>
        <v>70</v>
      </c>
      <c r="F448" s="21"/>
      <c r="G448" s="20"/>
      <c r="H448" s="9"/>
      <c r="I448" s="9"/>
      <c r="J448" s="21">
        <f>SUM(R444:R447)</f>
        <v>357.67</v>
      </c>
      <c r="K448" s="21"/>
    </row>
    <row r="449" spans="1:22" ht="14.25" x14ac:dyDescent="0.2">
      <c r="A449" s="18"/>
      <c r="B449" s="18"/>
      <c r="C449" s="18" t="s">
        <v>735</v>
      </c>
      <c r="D449" s="19" t="s">
        <v>734</v>
      </c>
      <c r="E449" s="9">
        <f>Source!AU317</f>
        <v>10</v>
      </c>
      <c r="F449" s="21"/>
      <c r="G449" s="20"/>
      <c r="H449" s="9"/>
      <c r="I449" s="9"/>
      <c r="J449" s="21">
        <f>SUM(T444:T448)</f>
        <v>51.1</v>
      </c>
      <c r="K449" s="21"/>
    </row>
    <row r="450" spans="1:22" ht="14.25" x14ac:dyDescent="0.2">
      <c r="A450" s="18"/>
      <c r="B450" s="18"/>
      <c r="C450" s="18" t="s">
        <v>736</v>
      </c>
      <c r="D450" s="19" t="s">
        <v>737</v>
      </c>
      <c r="E450" s="9">
        <f>Source!AQ317</f>
        <v>2.4</v>
      </c>
      <c r="F450" s="21"/>
      <c r="G450" s="20" t="str">
        <f>Source!DI317</f>
        <v/>
      </c>
      <c r="H450" s="9">
        <f>Source!AV317</f>
        <v>1</v>
      </c>
      <c r="I450" s="9"/>
      <c r="J450" s="21"/>
      <c r="K450" s="21">
        <f>Source!U317</f>
        <v>0.72</v>
      </c>
    </row>
    <row r="451" spans="1:22" ht="15" x14ac:dyDescent="0.25">
      <c r="A451" s="23"/>
      <c r="B451" s="23"/>
      <c r="C451" s="23"/>
      <c r="D451" s="23"/>
      <c r="E451" s="23"/>
      <c r="F451" s="23"/>
      <c r="G451" s="23"/>
      <c r="H451" s="23"/>
      <c r="I451" s="51">
        <f>J446+J447+J448+J449</f>
        <v>943.92</v>
      </c>
      <c r="J451" s="51"/>
      <c r="K451" s="24">
        <f>IF(Source!I317&lt;&gt;0, ROUND(I451/Source!I317, 2), 0)</f>
        <v>3146.4</v>
      </c>
      <c r="P451" s="22">
        <f>I451</f>
        <v>943.92</v>
      </c>
    </row>
    <row r="453" spans="1:22" ht="15" customHeight="1" x14ac:dyDescent="0.25">
      <c r="A453" s="54" t="str">
        <f>CONCATENATE("Итого по подразделу: ",IF(Source!G319&lt;&gt;"Новый подраздел", Source!G319, ""))</f>
        <v>Итого по подразделу: 4.1 Электроосвещение и электрооборудование</v>
      </c>
      <c r="B453" s="54"/>
      <c r="C453" s="54"/>
      <c r="D453" s="54"/>
      <c r="E453" s="54"/>
      <c r="F453" s="54"/>
      <c r="G453" s="54"/>
      <c r="H453" s="54"/>
      <c r="I453" s="53">
        <f>SUM(P394:P452)</f>
        <v>90687.799999999988</v>
      </c>
      <c r="J453" s="53"/>
      <c r="K453" s="26"/>
    </row>
    <row r="456" spans="1:22" ht="16.5" customHeight="1" x14ac:dyDescent="0.25">
      <c r="A456" s="50" t="str">
        <f>CONCATENATE("Подраздел: ",IF(Source!G349&lt;&gt;"Новый подраздел", Source!G349, ""))</f>
        <v>Подраздел: 4.2  Система молниезащиты и заземления</v>
      </c>
      <c r="B456" s="50"/>
      <c r="C456" s="50"/>
      <c r="D456" s="50"/>
      <c r="E456" s="50"/>
      <c r="F456" s="50"/>
      <c r="G456" s="50"/>
      <c r="H456" s="50"/>
      <c r="I456" s="50"/>
      <c r="J456" s="50"/>
      <c r="K456" s="50"/>
    </row>
    <row r="458" spans="1:22" ht="15" customHeight="1" x14ac:dyDescent="0.25">
      <c r="A458" s="54" t="str">
        <f>CONCATENATE("Итого по подразделу: ",IF(Source!G356&lt;&gt;"Новый подраздел", Source!G356, ""))</f>
        <v>Итого по подразделу: 4.2  Система молниезащиты и заземления</v>
      </c>
      <c r="B458" s="54"/>
      <c r="C458" s="54"/>
      <c r="D458" s="54"/>
      <c r="E458" s="54"/>
      <c r="F458" s="54"/>
      <c r="G458" s="54"/>
      <c r="H458" s="54"/>
      <c r="I458" s="53">
        <f>SUM(P456:P457)</f>
        <v>0</v>
      </c>
      <c r="J458" s="53"/>
      <c r="K458" s="26"/>
    </row>
    <row r="461" spans="1:22" ht="16.5" customHeight="1" x14ac:dyDescent="0.25">
      <c r="A461" s="50" t="str">
        <f>CONCATENATE("Подраздел: ",IF(Source!G386&lt;&gt;"Новый подраздел", Source!G386, ""))</f>
        <v>Подраздел: 4.3  Осветительное оборудование</v>
      </c>
      <c r="B461" s="50"/>
      <c r="C461" s="50"/>
      <c r="D461" s="50"/>
      <c r="E461" s="50"/>
      <c r="F461" s="50"/>
      <c r="G461" s="50"/>
      <c r="H461" s="50"/>
      <c r="I461" s="50"/>
      <c r="J461" s="50"/>
      <c r="K461" s="50"/>
    </row>
    <row r="462" spans="1:22" ht="179.25" x14ac:dyDescent="0.2">
      <c r="A462" s="18">
        <v>51</v>
      </c>
      <c r="B462" s="18" t="s">
        <v>741</v>
      </c>
      <c r="C462" s="18" t="s">
        <v>742</v>
      </c>
      <c r="D462" s="19" t="str">
        <f>Source!H390</f>
        <v>шт.</v>
      </c>
      <c r="E462" s="9">
        <f>Source!I390</f>
        <v>432</v>
      </c>
      <c r="F462" s="21"/>
      <c r="G462" s="20"/>
      <c r="H462" s="9"/>
      <c r="I462" s="9"/>
      <c r="J462" s="21"/>
      <c r="K462" s="21"/>
      <c r="Q462">
        <f>ROUND((Source!BZ390/100)*ROUND((Source!AF390*Source!AV390)*Source!I390, 2), 2)</f>
        <v>53039.75</v>
      </c>
      <c r="R462">
        <f>Source!X390</f>
        <v>53039.75</v>
      </c>
      <c r="S462">
        <f>ROUND((Source!CA390/100)*ROUND((Source!AF390*Source!AV390)*Source!I390, 2), 2)</f>
        <v>7577.11</v>
      </c>
      <c r="T462">
        <f>Source!Y390</f>
        <v>7577.11</v>
      </c>
      <c r="U462">
        <f>ROUND((175/100)*ROUND((Source!AE390*Source!AV390)*Source!I390, 2), 2)</f>
        <v>0</v>
      </c>
      <c r="V462">
        <f>ROUND((108/100)*ROUND(Source!CS390*Source!I390, 2), 2)</f>
        <v>0</v>
      </c>
    </row>
    <row r="463" spans="1:22" x14ac:dyDescent="0.2">
      <c r="C463" s="25" t="str">
        <f>"Объем: "&amp;Source!I390&amp;"=378+"&amp;"54"</f>
        <v>Объем: 432=378+54</v>
      </c>
    </row>
    <row r="464" spans="1:22" ht="14.25" x14ac:dyDescent="0.2">
      <c r="A464" s="18"/>
      <c r="B464" s="18"/>
      <c r="C464" s="18" t="s">
        <v>731</v>
      </c>
      <c r="D464" s="19"/>
      <c r="E464" s="9"/>
      <c r="F464" s="21">
        <f>Source!AO390</f>
        <v>168.65</v>
      </c>
      <c r="G464" s="20" t="str">
        <f>Source!DG390</f>
        <v>)*1,04</v>
      </c>
      <c r="H464" s="9">
        <f>Source!AV390</f>
        <v>1</v>
      </c>
      <c r="I464" s="9">
        <f>IF(Source!BA390&lt;&gt; 0, Source!BA390, 1)</f>
        <v>1</v>
      </c>
      <c r="J464" s="21">
        <f>Source!S390</f>
        <v>75771.070000000007</v>
      </c>
      <c r="K464" s="21"/>
    </row>
    <row r="465" spans="1:22" ht="14.25" x14ac:dyDescent="0.2">
      <c r="A465" s="18"/>
      <c r="B465" s="18"/>
      <c r="C465" s="18" t="s">
        <v>732</v>
      </c>
      <c r="D465" s="19"/>
      <c r="E465" s="9"/>
      <c r="F465" s="21">
        <f>Source!AL390</f>
        <v>0.63</v>
      </c>
      <c r="G465" s="20" t="str">
        <f>Source!DD390</f>
        <v/>
      </c>
      <c r="H465" s="9">
        <f>Source!AW390</f>
        <v>1</v>
      </c>
      <c r="I465" s="9">
        <f>IF(Source!BC390&lt;&gt; 0, Source!BC390, 1)</f>
        <v>1</v>
      </c>
      <c r="J465" s="21">
        <f>Source!P390</f>
        <v>272.16000000000003</v>
      </c>
      <c r="K465" s="21"/>
    </row>
    <row r="466" spans="1:22" ht="14.25" x14ac:dyDescent="0.2">
      <c r="A466" s="18"/>
      <c r="B466" s="18"/>
      <c r="C466" s="18" t="s">
        <v>733</v>
      </c>
      <c r="D466" s="19" t="s">
        <v>734</v>
      </c>
      <c r="E466" s="9">
        <f>Source!AT390</f>
        <v>70</v>
      </c>
      <c r="F466" s="21"/>
      <c r="G466" s="20"/>
      <c r="H466" s="9"/>
      <c r="I466" s="9"/>
      <c r="J466" s="21">
        <f>SUM(R462:R465)</f>
        <v>53039.75</v>
      </c>
      <c r="K466" s="21"/>
    </row>
    <row r="467" spans="1:22" ht="14.25" x14ac:dyDescent="0.2">
      <c r="A467" s="18"/>
      <c r="B467" s="18"/>
      <c r="C467" s="18" t="s">
        <v>735</v>
      </c>
      <c r="D467" s="19" t="s">
        <v>734</v>
      </c>
      <c r="E467" s="9">
        <f>Source!AU390</f>
        <v>10</v>
      </c>
      <c r="F467" s="21"/>
      <c r="G467" s="20"/>
      <c r="H467" s="9"/>
      <c r="I467" s="9"/>
      <c r="J467" s="21">
        <f>SUM(T462:T466)</f>
        <v>7577.11</v>
      </c>
      <c r="K467" s="21"/>
    </row>
    <row r="468" spans="1:22" ht="14.25" x14ac:dyDescent="0.2">
      <c r="A468" s="18"/>
      <c r="B468" s="18"/>
      <c r="C468" s="18" t="s">
        <v>736</v>
      </c>
      <c r="D468" s="19" t="s">
        <v>737</v>
      </c>
      <c r="E468" s="9">
        <f>Source!AQ390</f>
        <v>0.3</v>
      </c>
      <c r="F468" s="21"/>
      <c r="G468" s="20" t="str">
        <f>Source!DI390</f>
        <v>)*1,04</v>
      </c>
      <c r="H468" s="9">
        <f>Source!AV390</f>
        <v>1</v>
      </c>
      <c r="I468" s="9"/>
      <c r="J468" s="21"/>
      <c r="K468" s="21">
        <f>Source!U390</f>
        <v>134.78399999999999</v>
      </c>
    </row>
    <row r="469" spans="1:22" ht="15" x14ac:dyDescent="0.25">
      <c r="A469" s="23"/>
      <c r="B469" s="23"/>
      <c r="C469" s="23"/>
      <c r="D469" s="23"/>
      <c r="E469" s="23"/>
      <c r="F469" s="23"/>
      <c r="G469" s="23"/>
      <c r="H469" s="23"/>
      <c r="I469" s="51">
        <f>J464+J465+J466+J467</f>
        <v>136660.09</v>
      </c>
      <c r="J469" s="51"/>
      <c r="K469" s="24">
        <f>IF(Source!I390&lt;&gt;0, ROUND(I469/Source!I390, 2), 0)</f>
        <v>316.33999999999997</v>
      </c>
      <c r="P469" s="22">
        <f>I469</f>
        <v>136660.09</v>
      </c>
    </row>
    <row r="470" spans="1:22" ht="71.25" x14ac:dyDescent="0.2">
      <c r="A470" s="18">
        <v>52</v>
      </c>
      <c r="B470" s="18" t="str">
        <f>Source!F391</f>
        <v>1.20-2103-19-3/1</v>
      </c>
      <c r="C470" s="18" t="str">
        <f>Source!G391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D470" s="19" t="str">
        <f>Source!H391</f>
        <v>шт.</v>
      </c>
      <c r="E470" s="9">
        <f>Source!I391</f>
        <v>40</v>
      </c>
      <c r="F470" s="21"/>
      <c r="G470" s="20"/>
      <c r="H470" s="9"/>
      <c r="I470" s="9"/>
      <c r="J470" s="21"/>
      <c r="K470" s="21"/>
      <c r="Q470">
        <f>ROUND((Source!BZ391/100)*ROUND((Source!AF391*Source!AV391)*Source!I391, 2), 2)</f>
        <v>7555.52</v>
      </c>
      <c r="R470">
        <f>Source!X391</f>
        <v>7555.52</v>
      </c>
      <c r="S470">
        <f>ROUND((Source!CA391/100)*ROUND((Source!AF391*Source!AV391)*Source!I391, 2), 2)</f>
        <v>1079.3599999999999</v>
      </c>
      <c r="T470">
        <f>Source!Y391</f>
        <v>1079.3599999999999</v>
      </c>
      <c r="U470">
        <f>ROUND((175/100)*ROUND((Source!AE391*Source!AV391)*Source!I391, 2), 2)</f>
        <v>0</v>
      </c>
      <c r="V470">
        <f>ROUND((108/100)*ROUND(Source!CS391*Source!I391, 2), 2)</f>
        <v>0</v>
      </c>
    </row>
    <row r="471" spans="1:22" x14ac:dyDescent="0.2">
      <c r="C471" s="25" t="str">
        <f>"Объем: "&amp;Source!I391&amp;"=35+"&amp;"5"</f>
        <v>Объем: 40=35+5</v>
      </c>
    </row>
    <row r="472" spans="1:22" ht="14.25" x14ac:dyDescent="0.2">
      <c r="A472" s="18"/>
      <c r="B472" s="18"/>
      <c r="C472" s="18" t="s">
        <v>731</v>
      </c>
      <c r="D472" s="19"/>
      <c r="E472" s="9"/>
      <c r="F472" s="21">
        <f>Source!AO391</f>
        <v>269.83999999999997</v>
      </c>
      <c r="G472" s="20" t="str">
        <f>Source!DG391</f>
        <v/>
      </c>
      <c r="H472" s="9">
        <f>Source!AV391</f>
        <v>1</v>
      </c>
      <c r="I472" s="9">
        <f>IF(Source!BA391&lt;&gt; 0, Source!BA391, 1)</f>
        <v>1</v>
      </c>
      <c r="J472" s="21">
        <f>Source!S391</f>
        <v>10793.6</v>
      </c>
      <c r="K472" s="21"/>
    </row>
    <row r="473" spans="1:22" ht="14.25" x14ac:dyDescent="0.2">
      <c r="A473" s="18"/>
      <c r="B473" s="18"/>
      <c r="C473" s="18" t="s">
        <v>732</v>
      </c>
      <c r="D473" s="19"/>
      <c r="E473" s="9"/>
      <c r="F473" s="21">
        <f>Source!AL391</f>
        <v>1.57</v>
      </c>
      <c r="G473" s="20" t="str">
        <f>Source!DD391</f>
        <v/>
      </c>
      <c r="H473" s="9">
        <f>Source!AW391</f>
        <v>1</v>
      </c>
      <c r="I473" s="9">
        <f>IF(Source!BC391&lt;&gt; 0, Source!BC391, 1)</f>
        <v>1</v>
      </c>
      <c r="J473" s="21">
        <f>Source!P391</f>
        <v>62.8</v>
      </c>
      <c r="K473" s="21"/>
    </row>
    <row r="474" spans="1:22" ht="14.25" x14ac:dyDescent="0.2">
      <c r="A474" s="18"/>
      <c r="B474" s="18"/>
      <c r="C474" s="18" t="s">
        <v>733</v>
      </c>
      <c r="D474" s="19" t="s">
        <v>734</v>
      </c>
      <c r="E474" s="9">
        <f>Source!AT391</f>
        <v>70</v>
      </c>
      <c r="F474" s="21"/>
      <c r="G474" s="20"/>
      <c r="H474" s="9"/>
      <c r="I474" s="9"/>
      <c r="J474" s="21">
        <f>SUM(R470:R473)</f>
        <v>7555.52</v>
      </c>
      <c r="K474" s="21"/>
    </row>
    <row r="475" spans="1:22" ht="14.25" x14ac:dyDescent="0.2">
      <c r="A475" s="18"/>
      <c r="B475" s="18"/>
      <c r="C475" s="18" t="s">
        <v>735</v>
      </c>
      <c r="D475" s="19" t="s">
        <v>734</v>
      </c>
      <c r="E475" s="9">
        <f>Source!AU391</f>
        <v>10</v>
      </c>
      <c r="F475" s="21"/>
      <c r="G475" s="20"/>
      <c r="H475" s="9"/>
      <c r="I475" s="9"/>
      <c r="J475" s="21">
        <f>SUM(T470:T474)</f>
        <v>1079.3599999999999</v>
      </c>
      <c r="K475" s="21"/>
    </row>
    <row r="476" spans="1:22" ht="14.25" x14ac:dyDescent="0.2">
      <c r="A476" s="18"/>
      <c r="B476" s="18"/>
      <c r="C476" s="18" t="s">
        <v>736</v>
      </c>
      <c r="D476" s="19" t="s">
        <v>737</v>
      </c>
      <c r="E476" s="9">
        <f>Source!AQ391</f>
        <v>0.48</v>
      </c>
      <c r="F476" s="21"/>
      <c r="G476" s="20" t="str">
        <f>Source!DI391</f>
        <v/>
      </c>
      <c r="H476" s="9">
        <f>Source!AV391</f>
        <v>1</v>
      </c>
      <c r="I476" s="9"/>
      <c r="J476" s="21"/>
      <c r="K476" s="21">
        <f>Source!U391</f>
        <v>19.2</v>
      </c>
    </row>
    <row r="477" spans="1:22" ht="15" x14ac:dyDescent="0.25">
      <c r="A477" s="23"/>
      <c r="B477" s="23"/>
      <c r="C477" s="23"/>
      <c r="D477" s="23"/>
      <c r="E477" s="23"/>
      <c r="F477" s="23"/>
      <c r="G477" s="23"/>
      <c r="H477" s="23"/>
      <c r="I477" s="51">
        <f>J472+J473+J474+J475</f>
        <v>19491.28</v>
      </c>
      <c r="J477" s="51"/>
      <c r="K477" s="24">
        <f>IF(Source!I391&lt;&gt;0, ROUND(I477/Source!I391, 2), 0)</f>
        <v>487.28</v>
      </c>
      <c r="P477" s="22">
        <f>I477</f>
        <v>19491.28</v>
      </c>
    </row>
    <row r="478" spans="1:22" ht="157.5" x14ac:dyDescent="0.2">
      <c r="A478" s="18">
        <v>53</v>
      </c>
      <c r="B478" s="18" t="s">
        <v>743</v>
      </c>
      <c r="C478" s="18" t="s">
        <v>744</v>
      </c>
      <c r="D478" s="19" t="str">
        <f>Source!H392</f>
        <v>10 шт.</v>
      </c>
      <c r="E478" s="9">
        <f>Source!I392</f>
        <v>16</v>
      </c>
      <c r="F478" s="21"/>
      <c r="G478" s="20"/>
      <c r="H478" s="9"/>
      <c r="I478" s="9"/>
      <c r="J478" s="21"/>
      <c r="K478" s="21"/>
      <c r="Q478">
        <f>ROUND((Source!BZ392/100)*ROUND((Source!AF392*Source!AV392)*Source!I392, 2), 2)</f>
        <v>968.24</v>
      </c>
      <c r="R478">
        <f>Source!X392</f>
        <v>968.24</v>
      </c>
      <c r="S478">
        <f>ROUND((Source!CA392/100)*ROUND((Source!AF392*Source!AV392)*Source!I392, 2), 2)</f>
        <v>138.32</v>
      </c>
      <c r="T478">
        <f>Source!Y392</f>
        <v>138.32</v>
      </c>
      <c r="U478">
        <f>ROUND((175/100)*ROUND((Source!AE392*Source!AV392)*Source!I392, 2), 2)</f>
        <v>0</v>
      </c>
      <c r="V478">
        <f>ROUND((108/100)*ROUND(Source!CS392*Source!I392, 2), 2)</f>
        <v>0</v>
      </c>
    </row>
    <row r="479" spans="1:22" x14ac:dyDescent="0.2">
      <c r="C479" s="25" t="str">
        <f>"Объем: "&amp;Source!I392&amp;"=14+"&amp;"2"</f>
        <v>Объем: 16=14+2</v>
      </c>
    </row>
    <row r="480" spans="1:22" ht="14.25" x14ac:dyDescent="0.2">
      <c r="A480" s="18"/>
      <c r="B480" s="18"/>
      <c r="C480" s="18" t="s">
        <v>731</v>
      </c>
      <c r="D480" s="19"/>
      <c r="E480" s="9"/>
      <c r="F480" s="21">
        <f>Source!AO392</f>
        <v>123.5</v>
      </c>
      <c r="G480" s="20" t="str">
        <f>Source!DG392</f>
        <v>)*0,70</v>
      </c>
      <c r="H480" s="9">
        <f>Source!AV392</f>
        <v>1</v>
      </c>
      <c r="I480" s="9">
        <f>IF(Source!BA392&lt;&gt; 0, Source!BA392, 1)</f>
        <v>1</v>
      </c>
      <c r="J480" s="21">
        <f>Source!S392</f>
        <v>1383.2</v>
      </c>
      <c r="K480" s="21"/>
    </row>
    <row r="481" spans="1:22" ht="14.25" x14ac:dyDescent="0.2">
      <c r="A481" s="18"/>
      <c r="B481" s="18"/>
      <c r="C481" s="18" t="s">
        <v>732</v>
      </c>
      <c r="D481" s="19"/>
      <c r="E481" s="9"/>
      <c r="F481" s="21">
        <f>Source!AL392</f>
        <v>5.17</v>
      </c>
      <c r="G481" s="20" t="str">
        <f>Source!DD392</f>
        <v>)*1</v>
      </c>
      <c r="H481" s="9">
        <f>Source!AW392</f>
        <v>1</v>
      </c>
      <c r="I481" s="9">
        <f>IF(Source!BC392&lt;&gt; 0, Source!BC392, 1)</f>
        <v>1</v>
      </c>
      <c r="J481" s="21">
        <f>Source!P392</f>
        <v>82.72</v>
      </c>
      <c r="K481" s="21"/>
    </row>
    <row r="482" spans="1:22" ht="14.25" x14ac:dyDescent="0.2">
      <c r="A482" s="18"/>
      <c r="B482" s="18"/>
      <c r="C482" s="18" t="s">
        <v>733</v>
      </c>
      <c r="D482" s="19" t="s">
        <v>734</v>
      </c>
      <c r="E482" s="9">
        <f>Source!AT392</f>
        <v>70</v>
      </c>
      <c r="F482" s="21"/>
      <c r="G482" s="20"/>
      <c r="H482" s="9"/>
      <c r="I482" s="9"/>
      <c r="J482" s="21">
        <f>SUM(R478:R481)</f>
        <v>968.24</v>
      </c>
      <c r="K482" s="21"/>
    </row>
    <row r="483" spans="1:22" ht="14.25" x14ac:dyDescent="0.2">
      <c r="A483" s="18"/>
      <c r="B483" s="18"/>
      <c r="C483" s="18" t="s">
        <v>735</v>
      </c>
      <c r="D483" s="19" t="s">
        <v>734</v>
      </c>
      <c r="E483" s="9">
        <f>Source!AU392</f>
        <v>10</v>
      </c>
      <c r="F483" s="21"/>
      <c r="G483" s="20"/>
      <c r="H483" s="9"/>
      <c r="I483" s="9"/>
      <c r="J483" s="21">
        <f>SUM(T478:T482)</f>
        <v>138.32</v>
      </c>
      <c r="K483" s="21"/>
    </row>
    <row r="484" spans="1:22" ht="14.25" x14ac:dyDescent="0.2">
      <c r="A484" s="18"/>
      <c r="B484" s="18"/>
      <c r="C484" s="18" t="s">
        <v>736</v>
      </c>
      <c r="D484" s="19" t="s">
        <v>737</v>
      </c>
      <c r="E484" s="9">
        <f>Source!AQ392</f>
        <v>0.2</v>
      </c>
      <c r="F484" s="21"/>
      <c r="G484" s="20" t="str">
        <f>Source!DI392</f>
        <v>)*0,70</v>
      </c>
      <c r="H484" s="9">
        <f>Source!AV392</f>
        <v>1</v>
      </c>
      <c r="I484" s="9"/>
      <c r="J484" s="21"/>
      <c r="K484" s="21">
        <f>Source!U392</f>
        <v>2.2399999999999998</v>
      </c>
    </row>
    <row r="485" spans="1:22" ht="15" x14ac:dyDescent="0.25">
      <c r="A485" s="23"/>
      <c r="B485" s="23"/>
      <c r="C485" s="23"/>
      <c r="D485" s="23"/>
      <c r="E485" s="23"/>
      <c r="F485" s="23"/>
      <c r="G485" s="23"/>
      <c r="H485" s="23"/>
      <c r="I485" s="51">
        <f>J480+J481+J482+J483</f>
        <v>2572.48</v>
      </c>
      <c r="J485" s="51"/>
      <c r="K485" s="24">
        <f>IF(Source!I392&lt;&gt;0, ROUND(I485/Source!I392, 2), 0)</f>
        <v>160.78</v>
      </c>
      <c r="P485" s="22">
        <f>I485</f>
        <v>2572.48</v>
      </c>
    </row>
    <row r="486" spans="1:22" ht="128.25" x14ac:dyDescent="0.2">
      <c r="A486" s="18">
        <v>54</v>
      </c>
      <c r="B486" s="18" t="str">
        <f>Source!F394</f>
        <v>1.20-2103-24-1/1</v>
      </c>
      <c r="C486" s="18" t="str">
        <f>Source!G394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D486" s="19" t="str">
        <f>Source!H394</f>
        <v>шт.</v>
      </c>
      <c r="E486" s="9">
        <f>Source!I394</f>
        <v>24</v>
      </c>
      <c r="F486" s="21"/>
      <c r="G486" s="20"/>
      <c r="H486" s="9"/>
      <c r="I486" s="9"/>
      <c r="J486" s="21"/>
      <c r="K486" s="21"/>
      <c r="Q486">
        <f>ROUND((Source!BZ394/100)*ROUND((Source!AF394*Source!AV394)*Source!I394, 2), 2)</f>
        <v>2833.32</v>
      </c>
      <c r="R486">
        <f>Source!X394</f>
        <v>2833.32</v>
      </c>
      <c r="S486">
        <f>ROUND((Source!CA394/100)*ROUND((Source!AF394*Source!AV394)*Source!I394, 2), 2)</f>
        <v>404.76</v>
      </c>
      <c r="T486">
        <f>Source!Y394</f>
        <v>404.76</v>
      </c>
      <c r="U486">
        <f>ROUND((175/100)*ROUND((Source!AE394*Source!AV394)*Source!I394, 2), 2)</f>
        <v>0</v>
      </c>
      <c r="V486">
        <f>ROUND((108/100)*ROUND(Source!CS394*Source!I394, 2), 2)</f>
        <v>0</v>
      </c>
    </row>
    <row r="487" spans="1:22" x14ac:dyDescent="0.2">
      <c r="C487" s="25" t="str">
        <f>"Объем: "&amp;Source!I394&amp;"=21+"&amp;"3"</f>
        <v>Объем: 24=21+3</v>
      </c>
    </row>
    <row r="488" spans="1:22" ht="14.25" x14ac:dyDescent="0.2">
      <c r="A488" s="18"/>
      <c r="B488" s="18"/>
      <c r="C488" s="18" t="s">
        <v>731</v>
      </c>
      <c r="D488" s="19"/>
      <c r="E488" s="9"/>
      <c r="F488" s="21">
        <f>Source!AO394</f>
        <v>168.65</v>
      </c>
      <c r="G488" s="20" t="str">
        <f>Source!DG394</f>
        <v/>
      </c>
      <c r="H488" s="9">
        <f>Source!AV394</f>
        <v>1</v>
      </c>
      <c r="I488" s="9">
        <f>IF(Source!BA394&lt;&gt; 0, Source!BA394, 1)</f>
        <v>1</v>
      </c>
      <c r="J488" s="21">
        <f>Source!S394</f>
        <v>4047.6</v>
      </c>
      <c r="K488" s="21"/>
    </row>
    <row r="489" spans="1:22" ht="14.25" x14ac:dyDescent="0.2">
      <c r="A489" s="18"/>
      <c r="B489" s="18"/>
      <c r="C489" s="18" t="s">
        <v>732</v>
      </c>
      <c r="D489" s="19"/>
      <c r="E489" s="9"/>
      <c r="F489" s="21">
        <f>Source!AL394</f>
        <v>0.63</v>
      </c>
      <c r="G489" s="20" t="str">
        <f>Source!DD394</f>
        <v/>
      </c>
      <c r="H489" s="9">
        <f>Source!AW394</f>
        <v>1</v>
      </c>
      <c r="I489" s="9">
        <f>IF(Source!BC394&lt;&gt; 0, Source!BC394, 1)</f>
        <v>1</v>
      </c>
      <c r="J489" s="21">
        <f>Source!P394</f>
        <v>15.12</v>
      </c>
      <c r="K489" s="21"/>
    </row>
    <row r="490" spans="1:22" ht="14.25" x14ac:dyDescent="0.2">
      <c r="A490" s="18"/>
      <c r="B490" s="18"/>
      <c r="C490" s="18" t="s">
        <v>733</v>
      </c>
      <c r="D490" s="19" t="s">
        <v>734</v>
      </c>
      <c r="E490" s="9">
        <f>Source!AT394</f>
        <v>70</v>
      </c>
      <c r="F490" s="21"/>
      <c r="G490" s="20"/>
      <c r="H490" s="9"/>
      <c r="I490" s="9"/>
      <c r="J490" s="21">
        <f>SUM(R486:R489)</f>
        <v>2833.32</v>
      </c>
      <c r="K490" s="21"/>
    </row>
    <row r="491" spans="1:22" ht="14.25" x14ac:dyDescent="0.2">
      <c r="A491" s="18"/>
      <c r="B491" s="18"/>
      <c r="C491" s="18" t="s">
        <v>735</v>
      </c>
      <c r="D491" s="19" t="s">
        <v>734</v>
      </c>
      <c r="E491" s="9">
        <f>Source!AU394</f>
        <v>10</v>
      </c>
      <c r="F491" s="21"/>
      <c r="G491" s="20"/>
      <c r="H491" s="9"/>
      <c r="I491" s="9"/>
      <c r="J491" s="21">
        <f>SUM(T486:T490)</f>
        <v>404.76</v>
      </c>
      <c r="K491" s="21"/>
    </row>
    <row r="492" spans="1:22" ht="14.25" x14ac:dyDescent="0.2">
      <c r="A492" s="18"/>
      <c r="B492" s="18"/>
      <c r="C492" s="18" t="s">
        <v>736</v>
      </c>
      <c r="D492" s="19" t="s">
        <v>737</v>
      </c>
      <c r="E492" s="9">
        <f>Source!AQ394</f>
        <v>0.3</v>
      </c>
      <c r="F492" s="21"/>
      <c r="G492" s="20" t="str">
        <f>Source!DI394</f>
        <v/>
      </c>
      <c r="H492" s="9">
        <f>Source!AV394</f>
        <v>1</v>
      </c>
      <c r="I492" s="9"/>
      <c r="J492" s="21"/>
      <c r="K492" s="21">
        <f>Source!U394</f>
        <v>7.1999999999999993</v>
      </c>
    </row>
    <row r="493" spans="1:22" ht="15" x14ac:dyDescent="0.25">
      <c r="A493" s="23"/>
      <c r="B493" s="23"/>
      <c r="C493" s="23"/>
      <c r="D493" s="23"/>
      <c r="E493" s="23"/>
      <c r="F493" s="23"/>
      <c r="G493" s="23"/>
      <c r="H493" s="23"/>
      <c r="I493" s="51">
        <f>J488+J489+J490+J491</f>
        <v>7300.8</v>
      </c>
      <c r="J493" s="51"/>
      <c r="K493" s="24">
        <f>IF(Source!I394&lt;&gt;0, ROUND(I493/Source!I394, 2), 0)</f>
        <v>304.2</v>
      </c>
      <c r="P493" s="22">
        <f>I493</f>
        <v>7300.8</v>
      </c>
    </row>
    <row r="494" spans="1:22" ht="128.25" x14ac:dyDescent="0.2">
      <c r="A494" s="18">
        <v>55</v>
      </c>
      <c r="B494" s="18" t="str">
        <f>Source!F395</f>
        <v>1.20-2103-24-1/1</v>
      </c>
      <c r="C494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D494" s="19" t="str">
        <f>Source!H395</f>
        <v>шт.</v>
      </c>
      <c r="E494" s="9">
        <f>Source!I395</f>
        <v>26</v>
      </c>
      <c r="F494" s="21"/>
      <c r="G494" s="20"/>
      <c r="H494" s="9"/>
      <c r="I494" s="9"/>
      <c r="J494" s="21"/>
      <c r="K494" s="21"/>
      <c r="Q494">
        <f>ROUND((Source!BZ395/100)*ROUND((Source!AF395*Source!AV395)*Source!I395, 2), 2)</f>
        <v>3069.43</v>
      </c>
      <c r="R494">
        <f>Source!X395</f>
        <v>3069.43</v>
      </c>
      <c r="S494">
        <f>ROUND((Source!CA395/100)*ROUND((Source!AF395*Source!AV395)*Source!I395, 2), 2)</f>
        <v>438.49</v>
      </c>
      <c r="T494">
        <f>Source!Y395</f>
        <v>438.49</v>
      </c>
      <c r="U494">
        <f>ROUND((175/100)*ROUND((Source!AE395*Source!AV395)*Source!I395, 2), 2)</f>
        <v>0</v>
      </c>
      <c r="V494">
        <f>ROUND((108/100)*ROUND(Source!CS395*Source!I395, 2), 2)</f>
        <v>0</v>
      </c>
    </row>
    <row r="495" spans="1:22" x14ac:dyDescent="0.2">
      <c r="C495" s="25" t="str">
        <f>"Объем: "&amp;Source!I395&amp;"=14+"&amp;"12"</f>
        <v>Объем: 26=14+12</v>
      </c>
    </row>
    <row r="496" spans="1:22" ht="14.25" x14ac:dyDescent="0.2">
      <c r="A496" s="18"/>
      <c r="B496" s="18"/>
      <c r="C496" s="18" t="s">
        <v>731</v>
      </c>
      <c r="D496" s="19"/>
      <c r="E496" s="9"/>
      <c r="F496" s="21">
        <f>Source!AO395</f>
        <v>168.65</v>
      </c>
      <c r="G496" s="20" t="str">
        <f>Source!DG395</f>
        <v/>
      </c>
      <c r="H496" s="9">
        <f>Source!AV395</f>
        <v>1</v>
      </c>
      <c r="I496" s="9">
        <f>IF(Source!BA395&lt;&gt; 0, Source!BA395, 1)</f>
        <v>1</v>
      </c>
      <c r="J496" s="21">
        <f>Source!S395</f>
        <v>4384.8999999999996</v>
      </c>
      <c r="K496" s="21"/>
    </row>
    <row r="497" spans="1:22" ht="14.25" x14ac:dyDescent="0.2">
      <c r="A497" s="18"/>
      <c r="B497" s="18"/>
      <c r="C497" s="18" t="s">
        <v>732</v>
      </c>
      <c r="D497" s="19"/>
      <c r="E497" s="9"/>
      <c r="F497" s="21">
        <f>Source!AL395</f>
        <v>0.63</v>
      </c>
      <c r="G497" s="20" t="str">
        <f>Source!DD395</f>
        <v/>
      </c>
      <c r="H497" s="9">
        <f>Source!AW395</f>
        <v>1</v>
      </c>
      <c r="I497" s="9">
        <f>IF(Source!BC395&lt;&gt; 0, Source!BC395, 1)</f>
        <v>1</v>
      </c>
      <c r="J497" s="21">
        <f>Source!P395</f>
        <v>16.38</v>
      </c>
      <c r="K497" s="21"/>
    </row>
    <row r="498" spans="1:22" ht="14.25" x14ac:dyDescent="0.2">
      <c r="A498" s="18"/>
      <c r="B498" s="18"/>
      <c r="C498" s="18" t="s">
        <v>733</v>
      </c>
      <c r="D498" s="19" t="s">
        <v>734</v>
      </c>
      <c r="E498" s="9">
        <f>Source!AT395</f>
        <v>70</v>
      </c>
      <c r="F498" s="21"/>
      <c r="G498" s="20"/>
      <c r="H498" s="9"/>
      <c r="I498" s="9"/>
      <c r="J498" s="21">
        <f>SUM(R494:R497)</f>
        <v>3069.43</v>
      </c>
      <c r="K498" s="21"/>
    </row>
    <row r="499" spans="1:22" ht="14.25" x14ac:dyDescent="0.2">
      <c r="A499" s="18"/>
      <c r="B499" s="18"/>
      <c r="C499" s="18" t="s">
        <v>735</v>
      </c>
      <c r="D499" s="19" t="s">
        <v>734</v>
      </c>
      <c r="E499" s="9">
        <f>Source!AU395</f>
        <v>10</v>
      </c>
      <c r="F499" s="21"/>
      <c r="G499" s="20"/>
      <c r="H499" s="9"/>
      <c r="I499" s="9"/>
      <c r="J499" s="21">
        <f>SUM(T494:T498)</f>
        <v>438.49</v>
      </c>
      <c r="K499" s="21"/>
    </row>
    <row r="500" spans="1:22" ht="14.25" x14ac:dyDescent="0.2">
      <c r="A500" s="18"/>
      <c r="B500" s="18"/>
      <c r="C500" s="18" t="s">
        <v>736</v>
      </c>
      <c r="D500" s="19" t="s">
        <v>737</v>
      </c>
      <c r="E500" s="9">
        <f>Source!AQ395</f>
        <v>0.3</v>
      </c>
      <c r="F500" s="21"/>
      <c r="G500" s="20" t="str">
        <f>Source!DI395</f>
        <v/>
      </c>
      <c r="H500" s="9">
        <f>Source!AV395</f>
        <v>1</v>
      </c>
      <c r="I500" s="9"/>
      <c r="J500" s="21"/>
      <c r="K500" s="21">
        <f>Source!U395</f>
        <v>7.8</v>
      </c>
    </row>
    <row r="501" spans="1:22" ht="15" x14ac:dyDescent="0.25">
      <c r="A501" s="23"/>
      <c r="B501" s="23"/>
      <c r="C501" s="23"/>
      <c r="D501" s="23"/>
      <c r="E501" s="23"/>
      <c r="F501" s="23"/>
      <c r="G501" s="23"/>
      <c r="H501" s="23"/>
      <c r="I501" s="51">
        <f>J496+J497+J498+J499</f>
        <v>7909.1999999999989</v>
      </c>
      <c r="J501" s="51"/>
      <c r="K501" s="24">
        <f>IF(Source!I395&lt;&gt;0, ROUND(I501/Source!I395, 2), 0)</f>
        <v>304.2</v>
      </c>
      <c r="P501" s="22">
        <f>I501</f>
        <v>7909.1999999999989</v>
      </c>
    </row>
    <row r="503" spans="1:22" ht="15" customHeight="1" x14ac:dyDescent="0.25">
      <c r="A503" s="54" t="str">
        <f>CONCATENATE("Итого по подразделу: ",IF(Source!G397&lt;&gt;"Новый подраздел", Source!G397, ""))</f>
        <v>Итого по подразделу: 4.3  Осветительное оборудование</v>
      </c>
      <c r="B503" s="54"/>
      <c r="C503" s="54"/>
      <c r="D503" s="54"/>
      <c r="E503" s="54"/>
      <c r="F503" s="54"/>
      <c r="G503" s="54"/>
      <c r="H503" s="54"/>
      <c r="I503" s="53">
        <f>SUM(P461:P502)</f>
        <v>173933.85</v>
      </c>
      <c r="J503" s="53"/>
      <c r="K503" s="26"/>
    </row>
    <row r="506" spans="1:22" ht="16.5" customHeight="1" x14ac:dyDescent="0.25">
      <c r="A506" s="50" t="str">
        <f>CONCATENATE("Подраздел: ",IF(Source!G427&lt;&gt;"Новый подраздел", Source!G427, ""))</f>
        <v>Подраздел: 4.4  Кабельно-проводниковая продукция</v>
      </c>
      <c r="B506" s="50"/>
      <c r="C506" s="50"/>
      <c r="D506" s="50"/>
      <c r="E506" s="50"/>
      <c r="F506" s="50"/>
      <c r="G506" s="50"/>
      <c r="H506" s="50"/>
      <c r="I506" s="50"/>
      <c r="J506" s="50"/>
      <c r="K506" s="50"/>
    </row>
    <row r="507" spans="1:22" ht="57" x14ac:dyDescent="0.2">
      <c r="A507" s="18">
        <v>56</v>
      </c>
      <c r="B507" s="18" t="str">
        <f>Source!F431</f>
        <v>1.21-2103-9-1/1</v>
      </c>
      <c r="C507" s="18" t="str">
        <f>Source!G431</f>
        <v>Техническое обслуживание силовых сетей, проложенных по кирпичным и бетонным основаниям, провод сечением 2х1,5-6 мм2</v>
      </c>
      <c r="D507" s="19" t="str">
        <f>Source!H431</f>
        <v>100 м</v>
      </c>
      <c r="E507" s="9">
        <f>Source!I431</f>
        <v>0.38800000000000001</v>
      </c>
      <c r="F507" s="21"/>
      <c r="G507" s="20"/>
      <c r="H507" s="9"/>
      <c r="I507" s="9"/>
      <c r="J507" s="21"/>
      <c r="K507" s="21"/>
      <c r="Q507">
        <f>ROUND((Source!BZ431/100)*ROUND((Source!AF431*Source!AV431)*Source!I431, 2), 2)</f>
        <v>1038.0899999999999</v>
      </c>
      <c r="R507">
        <f>Source!X431</f>
        <v>1038.0899999999999</v>
      </c>
      <c r="S507">
        <f>ROUND((Source!CA431/100)*ROUND((Source!AF431*Source!AV431)*Source!I431, 2), 2)</f>
        <v>148.30000000000001</v>
      </c>
      <c r="T507">
        <f>Source!Y431</f>
        <v>148.30000000000001</v>
      </c>
      <c r="U507">
        <f>ROUND((175/100)*ROUND((Source!AE431*Source!AV431)*Source!I431, 2), 2)</f>
        <v>0</v>
      </c>
      <c r="V507">
        <f>ROUND((108/100)*ROUND(Source!CS431*Source!I431, 2), 2)</f>
        <v>0</v>
      </c>
    </row>
    <row r="508" spans="1:22" ht="38.25" x14ac:dyDescent="0.2">
      <c r="C508" s="25" t="str">
        <f>"Объем: "&amp;Source!I431&amp;"=(1000+"&amp;"10+"&amp;"80+"&amp;"110+"&amp;"140+"&amp;"170+"&amp;"200+"&amp;"230)*"&amp;"0,2*"&amp;"0,1/"&amp;"100"</f>
        <v>Объем: 0,388=(1000+10+80+110+140+170+200+230)*0,2*0,1/100</v>
      </c>
    </row>
    <row r="509" spans="1:22" ht="14.25" x14ac:dyDescent="0.2">
      <c r="A509" s="18"/>
      <c r="B509" s="18"/>
      <c r="C509" s="18" t="s">
        <v>731</v>
      </c>
      <c r="D509" s="19"/>
      <c r="E509" s="9"/>
      <c r="F509" s="21">
        <f>Source!AO431</f>
        <v>3822.15</v>
      </c>
      <c r="G509" s="20" t="str">
        <f>Source!DG431</f>
        <v/>
      </c>
      <c r="H509" s="9">
        <f>Source!AV431</f>
        <v>1</v>
      </c>
      <c r="I509" s="9">
        <f>IF(Source!BA431&lt;&gt; 0, Source!BA431, 1)</f>
        <v>1</v>
      </c>
      <c r="J509" s="21">
        <f>Source!S431</f>
        <v>1482.99</v>
      </c>
      <c r="K509" s="21"/>
    </row>
    <row r="510" spans="1:22" ht="14.25" x14ac:dyDescent="0.2">
      <c r="A510" s="18"/>
      <c r="B510" s="18"/>
      <c r="C510" s="18" t="s">
        <v>732</v>
      </c>
      <c r="D510" s="19"/>
      <c r="E510" s="9"/>
      <c r="F510" s="21">
        <f>Source!AL431</f>
        <v>22.51</v>
      </c>
      <c r="G510" s="20" t="str">
        <f>Source!DD431</f>
        <v/>
      </c>
      <c r="H510" s="9">
        <f>Source!AW431</f>
        <v>1</v>
      </c>
      <c r="I510" s="9">
        <f>IF(Source!BC431&lt;&gt; 0, Source!BC431, 1)</f>
        <v>1</v>
      </c>
      <c r="J510" s="21">
        <f>Source!P431</f>
        <v>8.73</v>
      </c>
      <c r="K510" s="21"/>
    </row>
    <row r="511" spans="1:22" ht="14.25" x14ac:dyDescent="0.2">
      <c r="A511" s="18"/>
      <c r="B511" s="18"/>
      <c r="C511" s="18" t="s">
        <v>733</v>
      </c>
      <c r="D511" s="19" t="s">
        <v>734</v>
      </c>
      <c r="E511" s="9">
        <f>Source!AT431</f>
        <v>70</v>
      </c>
      <c r="F511" s="21"/>
      <c r="G511" s="20"/>
      <c r="H511" s="9"/>
      <c r="I511" s="9"/>
      <c r="J511" s="21">
        <f>SUM(R507:R510)</f>
        <v>1038.0899999999999</v>
      </c>
      <c r="K511" s="21"/>
    </row>
    <row r="512" spans="1:22" ht="14.25" x14ac:dyDescent="0.2">
      <c r="A512" s="18"/>
      <c r="B512" s="18"/>
      <c r="C512" s="18" t="s">
        <v>735</v>
      </c>
      <c r="D512" s="19" t="s">
        <v>734</v>
      </c>
      <c r="E512" s="9">
        <f>Source!AU431</f>
        <v>10</v>
      </c>
      <c r="F512" s="21"/>
      <c r="G512" s="20"/>
      <c r="H512" s="9"/>
      <c r="I512" s="9"/>
      <c r="J512" s="21">
        <f>SUM(T507:T511)</f>
        <v>148.30000000000001</v>
      </c>
      <c r="K512" s="21"/>
    </row>
    <row r="513" spans="1:22" ht="14.25" x14ac:dyDescent="0.2">
      <c r="A513" s="18"/>
      <c r="B513" s="18"/>
      <c r="C513" s="18" t="s">
        <v>736</v>
      </c>
      <c r="D513" s="19" t="s">
        <v>737</v>
      </c>
      <c r="E513" s="9">
        <f>Source!AQ431</f>
        <v>7.14</v>
      </c>
      <c r="F513" s="21"/>
      <c r="G513" s="20" t="str">
        <f>Source!DI431</f>
        <v/>
      </c>
      <c r="H513" s="9">
        <f>Source!AV431</f>
        <v>1</v>
      </c>
      <c r="I513" s="9"/>
      <c r="J513" s="21"/>
      <c r="K513" s="21">
        <f>Source!U431</f>
        <v>2.7703199999999999</v>
      </c>
    </row>
    <row r="514" spans="1:22" ht="15" x14ac:dyDescent="0.25">
      <c r="A514" s="23"/>
      <c r="B514" s="23"/>
      <c r="C514" s="23"/>
      <c r="D514" s="23"/>
      <c r="E514" s="23"/>
      <c r="F514" s="23"/>
      <c r="G514" s="23"/>
      <c r="H514" s="23"/>
      <c r="I514" s="51">
        <f>J509+J510+J511+J512</f>
        <v>2678.11</v>
      </c>
      <c r="J514" s="51"/>
      <c r="K514" s="24">
        <f>IF(Source!I431&lt;&gt;0, ROUND(I514/Source!I431, 2), 0)</f>
        <v>6902.35</v>
      </c>
      <c r="P514" s="22">
        <f>I514</f>
        <v>2678.11</v>
      </c>
    </row>
    <row r="515" spans="1:22" ht="57" x14ac:dyDescent="0.2">
      <c r="A515" s="18">
        <v>57</v>
      </c>
      <c r="B515" s="18" t="str">
        <f>Source!F433</f>
        <v>1.21-2103-9-2/1</v>
      </c>
      <c r="C515" s="18" t="str">
        <f>Source!G433</f>
        <v>Техническое обслуживание силовых сетей, проложенных по кирпичным и бетонным основаниям, провод сечением 3х1,5-6 мм2</v>
      </c>
      <c r="D515" s="19" t="str">
        <f>Source!H433</f>
        <v>100 м</v>
      </c>
      <c r="E515" s="9">
        <f>Source!I433</f>
        <v>3.6</v>
      </c>
      <c r="F515" s="21"/>
      <c r="G515" s="20"/>
      <c r="H515" s="9"/>
      <c r="I515" s="9"/>
      <c r="J515" s="21"/>
      <c r="K515" s="21"/>
      <c r="Q515">
        <f>ROUND((Source!BZ433/100)*ROUND((Source!AF433*Source!AV433)*Source!I433, 2), 2)</f>
        <v>13489.94</v>
      </c>
      <c r="R515">
        <f>Source!X433</f>
        <v>13489.94</v>
      </c>
      <c r="S515">
        <f>ROUND((Source!CA433/100)*ROUND((Source!AF433*Source!AV433)*Source!I433, 2), 2)</f>
        <v>1927.13</v>
      </c>
      <c r="T515">
        <f>Source!Y433</f>
        <v>1927.13</v>
      </c>
      <c r="U515">
        <f>ROUND((175/100)*ROUND((Source!AE433*Source!AV433)*Source!I433, 2), 2)</f>
        <v>0</v>
      </c>
      <c r="V515">
        <f>ROUND((108/100)*ROUND(Source!CS433*Source!I433, 2), 2)</f>
        <v>0</v>
      </c>
    </row>
    <row r="516" spans="1:22" ht="38.25" x14ac:dyDescent="0.2">
      <c r="C516" s="25" t="str">
        <f>"Объем: "&amp;Source!I433&amp;"=(5250+"&amp;"6300+"&amp;"2450+"&amp;"1750+"&amp;"750+"&amp;"900+"&amp;"350+"&amp;"250)*"&amp;"0,2*"&amp;"0,1/"&amp;"100"</f>
        <v>Объем: 3,6=(5250+6300+2450+1750+750+900+350+250)*0,2*0,1/100</v>
      </c>
    </row>
    <row r="517" spans="1:22" ht="14.25" x14ac:dyDescent="0.2">
      <c r="A517" s="18"/>
      <c r="B517" s="18"/>
      <c r="C517" s="18" t="s">
        <v>731</v>
      </c>
      <c r="D517" s="19"/>
      <c r="E517" s="9"/>
      <c r="F517" s="21">
        <f>Source!AO433</f>
        <v>5353.15</v>
      </c>
      <c r="G517" s="20" t="str">
        <f>Source!DG433</f>
        <v/>
      </c>
      <c r="H517" s="9">
        <f>Source!AV433</f>
        <v>1</v>
      </c>
      <c r="I517" s="9">
        <f>IF(Source!BA433&lt;&gt; 0, Source!BA433, 1)</f>
        <v>1</v>
      </c>
      <c r="J517" s="21">
        <f>Source!S433</f>
        <v>19271.34</v>
      </c>
      <c r="K517" s="21"/>
    </row>
    <row r="518" spans="1:22" ht="14.25" x14ac:dyDescent="0.2">
      <c r="A518" s="18"/>
      <c r="B518" s="18"/>
      <c r="C518" s="18" t="s">
        <v>732</v>
      </c>
      <c r="D518" s="19"/>
      <c r="E518" s="9"/>
      <c r="F518" s="21">
        <f>Source!AL433</f>
        <v>22.51</v>
      </c>
      <c r="G518" s="20" t="str">
        <f>Source!DD433</f>
        <v/>
      </c>
      <c r="H518" s="9">
        <f>Source!AW433</f>
        <v>1</v>
      </c>
      <c r="I518" s="9">
        <f>IF(Source!BC433&lt;&gt; 0, Source!BC433, 1)</f>
        <v>1</v>
      </c>
      <c r="J518" s="21">
        <f>Source!P433</f>
        <v>81.040000000000006</v>
      </c>
      <c r="K518" s="21"/>
    </row>
    <row r="519" spans="1:22" ht="14.25" x14ac:dyDescent="0.2">
      <c r="A519" s="18"/>
      <c r="B519" s="18"/>
      <c r="C519" s="18" t="s">
        <v>733</v>
      </c>
      <c r="D519" s="19" t="s">
        <v>734</v>
      </c>
      <c r="E519" s="9">
        <f>Source!AT433</f>
        <v>70</v>
      </c>
      <c r="F519" s="21"/>
      <c r="G519" s="20"/>
      <c r="H519" s="9"/>
      <c r="I519" s="9"/>
      <c r="J519" s="21">
        <f>SUM(R515:R518)</f>
        <v>13489.94</v>
      </c>
      <c r="K519" s="21"/>
    </row>
    <row r="520" spans="1:22" ht="14.25" x14ac:dyDescent="0.2">
      <c r="A520" s="18"/>
      <c r="B520" s="18"/>
      <c r="C520" s="18" t="s">
        <v>735</v>
      </c>
      <c r="D520" s="19" t="s">
        <v>734</v>
      </c>
      <c r="E520" s="9">
        <f>Source!AU433</f>
        <v>10</v>
      </c>
      <c r="F520" s="21"/>
      <c r="G520" s="20"/>
      <c r="H520" s="9"/>
      <c r="I520" s="9"/>
      <c r="J520" s="21">
        <f>SUM(T515:T519)</f>
        <v>1927.13</v>
      </c>
      <c r="K520" s="21"/>
    </row>
    <row r="521" spans="1:22" ht="14.25" x14ac:dyDescent="0.2">
      <c r="A521" s="18"/>
      <c r="B521" s="18"/>
      <c r="C521" s="18" t="s">
        <v>736</v>
      </c>
      <c r="D521" s="19" t="s">
        <v>737</v>
      </c>
      <c r="E521" s="9">
        <f>Source!AQ433</f>
        <v>10</v>
      </c>
      <c r="F521" s="21"/>
      <c r="G521" s="20" t="str">
        <f>Source!DI433</f>
        <v/>
      </c>
      <c r="H521" s="9">
        <f>Source!AV433</f>
        <v>1</v>
      </c>
      <c r="I521" s="9"/>
      <c r="J521" s="21"/>
      <c r="K521" s="21">
        <f>Source!U433</f>
        <v>36</v>
      </c>
    </row>
    <row r="522" spans="1:22" ht="15" x14ac:dyDescent="0.25">
      <c r="A522" s="23"/>
      <c r="B522" s="23"/>
      <c r="C522" s="23"/>
      <c r="D522" s="23"/>
      <c r="E522" s="23"/>
      <c r="F522" s="23"/>
      <c r="G522" s="23"/>
      <c r="H522" s="23"/>
      <c r="I522" s="51">
        <f>J517+J518+J519+J520</f>
        <v>34769.449999999997</v>
      </c>
      <c r="J522" s="51"/>
      <c r="K522" s="24">
        <f>IF(Source!I433&lt;&gt;0, ROUND(I522/Source!I433, 2), 0)</f>
        <v>9658.18</v>
      </c>
      <c r="P522" s="22">
        <f>I522</f>
        <v>34769.449999999997</v>
      </c>
    </row>
    <row r="523" spans="1:22" ht="57" x14ac:dyDescent="0.2">
      <c r="A523" s="18">
        <v>58</v>
      </c>
      <c r="B523" s="18" t="str">
        <f>Source!F435</f>
        <v>1.21-2103-9-3/1</v>
      </c>
      <c r="C523" s="18" t="str">
        <f>Source!G435</f>
        <v>Техническое обслуживание силовых сетей, проложенных по кирпичным и бетонным основаниям, провод сечением 4х1,5-6 мм2 (5х2,5, 5х4, 5х6)</v>
      </c>
      <c r="D523" s="19" t="str">
        <f>Source!H435</f>
        <v>100 м</v>
      </c>
      <c r="E523" s="9">
        <f>Source!I435</f>
        <v>0.76900000000000002</v>
      </c>
      <c r="F523" s="21"/>
      <c r="G523" s="20"/>
      <c r="H523" s="9"/>
      <c r="I523" s="9"/>
      <c r="J523" s="21"/>
      <c r="K523" s="21"/>
      <c r="Q523">
        <f>ROUND((Source!BZ435/100)*ROUND((Source!AF435*Source!AV435)*Source!I435, 2), 2)</f>
        <v>3233.16</v>
      </c>
      <c r="R523">
        <f>Source!X435</f>
        <v>3233.16</v>
      </c>
      <c r="S523">
        <f>ROUND((Source!CA435/100)*ROUND((Source!AF435*Source!AV435)*Source!I435, 2), 2)</f>
        <v>461.88</v>
      </c>
      <c r="T523">
        <f>Source!Y435</f>
        <v>461.88</v>
      </c>
      <c r="U523">
        <f>ROUND((175/100)*ROUND((Source!AE435*Source!AV435)*Source!I435, 2), 2)</f>
        <v>0</v>
      </c>
      <c r="V523">
        <f>ROUND((108/100)*ROUND(Source!CS435*Source!I435, 2), 2)</f>
        <v>0</v>
      </c>
    </row>
    <row r="524" spans="1:22" ht="38.25" x14ac:dyDescent="0.2">
      <c r="C524" s="25" t="str">
        <f>"Объем: "&amp;Source!I435&amp;"=(420+"&amp;"490+"&amp;"820+"&amp;"330+"&amp;"810+"&amp;"60+"&amp;"70+"&amp;"70+"&amp;"35+"&amp;"80+"&amp;"80+"&amp;"80+"&amp;"110+"&amp;"110+"&amp;"140+"&amp;"140)*"&amp;"0,2*"&amp;"0,1/"&amp;"100"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25" spans="1:22" ht="14.25" x14ac:dyDescent="0.2">
      <c r="A525" s="18"/>
      <c r="B525" s="18"/>
      <c r="C525" s="18" t="s">
        <v>731</v>
      </c>
      <c r="D525" s="19"/>
      <c r="E525" s="9"/>
      <c r="F525" s="21">
        <f>Source!AO435</f>
        <v>6006.24</v>
      </c>
      <c r="G525" s="20" t="str">
        <f>Source!DG435</f>
        <v/>
      </c>
      <c r="H525" s="9">
        <f>Source!AV435</f>
        <v>1</v>
      </c>
      <c r="I525" s="9">
        <f>IF(Source!BA435&lt;&gt; 0, Source!BA435, 1)</f>
        <v>1</v>
      </c>
      <c r="J525" s="21">
        <f>Source!S435</f>
        <v>4618.8</v>
      </c>
      <c r="K525" s="21"/>
    </row>
    <row r="526" spans="1:22" ht="14.25" x14ac:dyDescent="0.2">
      <c r="A526" s="18"/>
      <c r="B526" s="18"/>
      <c r="C526" s="18" t="s">
        <v>732</v>
      </c>
      <c r="D526" s="19"/>
      <c r="E526" s="9"/>
      <c r="F526" s="21">
        <f>Source!AL435</f>
        <v>14.63</v>
      </c>
      <c r="G526" s="20" t="str">
        <f>Source!DD435</f>
        <v/>
      </c>
      <c r="H526" s="9">
        <f>Source!AW435</f>
        <v>1</v>
      </c>
      <c r="I526" s="9">
        <f>IF(Source!BC435&lt;&gt; 0, Source!BC435, 1)</f>
        <v>1</v>
      </c>
      <c r="J526" s="21">
        <f>Source!P435</f>
        <v>11.25</v>
      </c>
      <c r="K526" s="21"/>
    </row>
    <row r="527" spans="1:22" ht="14.25" x14ac:dyDescent="0.2">
      <c r="A527" s="18"/>
      <c r="B527" s="18"/>
      <c r="C527" s="18" t="s">
        <v>733</v>
      </c>
      <c r="D527" s="19" t="s">
        <v>734</v>
      </c>
      <c r="E527" s="9">
        <f>Source!AT435</f>
        <v>70</v>
      </c>
      <c r="F527" s="21"/>
      <c r="G527" s="20"/>
      <c r="H527" s="9"/>
      <c r="I527" s="9"/>
      <c r="J527" s="21">
        <f>SUM(R523:R526)</f>
        <v>3233.16</v>
      </c>
      <c r="K527" s="21"/>
    </row>
    <row r="528" spans="1:22" ht="14.25" x14ac:dyDescent="0.2">
      <c r="A528" s="18"/>
      <c r="B528" s="18"/>
      <c r="C528" s="18" t="s">
        <v>735</v>
      </c>
      <c r="D528" s="19" t="s">
        <v>734</v>
      </c>
      <c r="E528" s="9">
        <f>Source!AU435</f>
        <v>10</v>
      </c>
      <c r="F528" s="21"/>
      <c r="G528" s="20"/>
      <c r="H528" s="9"/>
      <c r="I528" s="9"/>
      <c r="J528" s="21">
        <f>SUM(T523:T527)</f>
        <v>461.88</v>
      </c>
      <c r="K528" s="21"/>
    </row>
    <row r="529" spans="1:22" ht="14.25" x14ac:dyDescent="0.2">
      <c r="A529" s="18"/>
      <c r="B529" s="18"/>
      <c r="C529" s="18" t="s">
        <v>736</v>
      </c>
      <c r="D529" s="19" t="s">
        <v>737</v>
      </c>
      <c r="E529" s="9">
        <f>Source!AQ435</f>
        <v>11.22</v>
      </c>
      <c r="F529" s="21"/>
      <c r="G529" s="20" t="str">
        <f>Source!DI435</f>
        <v/>
      </c>
      <c r="H529" s="9">
        <f>Source!AV435</f>
        <v>1</v>
      </c>
      <c r="I529" s="9"/>
      <c r="J529" s="21"/>
      <c r="K529" s="21">
        <f>Source!U435</f>
        <v>8.6281800000000004</v>
      </c>
    </row>
    <row r="530" spans="1:22" ht="15" x14ac:dyDescent="0.25">
      <c r="A530" s="23"/>
      <c r="B530" s="23"/>
      <c r="C530" s="23"/>
      <c r="D530" s="23"/>
      <c r="E530" s="23"/>
      <c r="F530" s="23"/>
      <c r="G530" s="23"/>
      <c r="H530" s="23"/>
      <c r="I530" s="51">
        <f>J525+J526+J527+J528</f>
        <v>8325.09</v>
      </c>
      <c r="J530" s="51"/>
      <c r="K530" s="24">
        <f>IF(Source!I435&lt;&gt;0, ROUND(I530/Source!I435, 2), 0)</f>
        <v>10825.86</v>
      </c>
      <c r="P530" s="22">
        <f>I530</f>
        <v>8325.09</v>
      </c>
    </row>
    <row r="531" spans="1:22" ht="57" x14ac:dyDescent="0.2">
      <c r="A531" s="18">
        <v>59</v>
      </c>
      <c r="B531" s="18" t="str">
        <f>Source!F437</f>
        <v>1.21-2103-9-5/1</v>
      </c>
      <c r="C531" s="18" t="str">
        <f>Source!G437</f>
        <v>Техническое обслуживание силовых сетей, проложенных по кирпичным и бетонным основаниям, провод сечением 3х10-16 мм2 (5х10, 5х16)</v>
      </c>
      <c r="D531" s="19" t="str">
        <f>Source!H437</f>
        <v>100 м</v>
      </c>
      <c r="E531" s="9">
        <f>Source!I437</f>
        <v>0.8</v>
      </c>
      <c r="F531" s="21"/>
      <c r="G531" s="20"/>
      <c r="H531" s="9"/>
      <c r="I531" s="9"/>
      <c r="J531" s="21"/>
      <c r="K531" s="21"/>
      <c r="Q531">
        <f>ROUND((Source!BZ437/100)*ROUND((Source!AF437*Source!AV437)*Source!I437, 2), 2)</f>
        <v>3561.34</v>
      </c>
      <c r="R531">
        <f>Source!X437</f>
        <v>3561.34</v>
      </c>
      <c r="S531">
        <f>ROUND((Source!CA437/100)*ROUND((Source!AF437*Source!AV437)*Source!I437, 2), 2)</f>
        <v>508.76</v>
      </c>
      <c r="T531">
        <f>Source!Y437</f>
        <v>508.76</v>
      </c>
      <c r="U531">
        <f>ROUND((175/100)*ROUND((Source!AE437*Source!AV437)*Source!I437, 2), 2)</f>
        <v>0</v>
      </c>
      <c r="V531">
        <f>ROUND((108/100)*ROUND(Source!CS437*Source!I437, 2), 2)</f>
        <v>0</v>
      </c>
    </row>
    <row r="532" spans="1:22" ht="38.25" x14ac:dyDescent="0.2">
      <c r="C532" s="25" t="str">
        <f>"Объем: "&amp;Source!I437&amp;"=(600+"&amp;"140+"&amp;"1860+"&amp;"20+"&amp;"180+"&amp;"170+"&amp;"170+"&amp;"200+"&amp;"200+"&amp;"230+"&amp;"230)*"&amp;"0,2*"&amp;"0,1/"&amp;"100"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33" spans="1:22" ht="14.25" x14ac:dyDescent="0.2">
      <c r="A533" s="18"/>
      <c r="B533" s="18"/>
      <c r="C533" s="18" t="s">
        <v>731</v>
      </c>
      <c r="D533" s="19"/>
      <c r="E533" s="9"/>
      <c r="F533" s="21">
        <f>Source!AO437</f>
        <v>6359.54</v>
      </c>
      <c r="G533" s="20" t="str">
        <f>Source!DG437</f>
        <v/>
      </c>
      <c r="H533" s="9">
        <f>Source!AV437</f>
        <v>1</v>
      </c>
      <c r="I533" s="9">
        <f>IF(Source!BA437&lt;&gt; 0, Source!BA437, 1)</f>
        <v>1</v>
      </c>
      <c r="J533" s="21">
        <f>Source!S437</f>
        <v>5087.63</v>
      </c>
      <c r="K533" s="21"/>
    </row>
    <row r="534" spans="1:22" ht="14.25" x14ac:dyDescent="0.2">
      <c r="A534" s="18"/>
      <c r="B534" s="18"/>
      <c r="C534" s="18" t="s">
        <v>732</v>
      </c>
      <c r="D534" s="19"/>
      <c r="E534" s="9"/>
      <c r="F534" s="21">
        <f>Source!AL437</f>
        <v>15.76</v>
      </c>
      <c r="G534" s="20" t="str">
        <f>Source!DD437</f>
        <v/>
      </c>
      <c r="H534" s="9">
        <f>Source!AW437</f>
        <v>1</v>
      </c>
      <c r="I534" s="9">
        <f>IF(Source!BC437&lt;&gt; 0, Source!BC437, 1)</f>
        <v>1</v>
      </c>
      <c r="J534" s="21">
        <f>Source!P437</f>
        <v>12.61</v>
      </c>
      <c r="K534" s="21"/>
    </row>
    <row r="535" spans="1:22" ht="14.25" x14ac:dyDescent="0.2">
      <c r="A535" s="18"/>
      <c r="B535" s="18"/>
      <c r="C535" s="18" t="s">
        <v>733</v>
      </c>
      <c r="D535" s="19" t="s">
        <v>734</v>
      </c>
      <c r="E535" s="9">
        <f>Source!AT437</f>
        <v>70</v>
      </c>
      <c r="F535" s="21"/>
      <c r="G535" s="20"/>
      <c r="H535" s="9"/>
      <c r="I535" s="9"/>
      <c r="J535" s="21">
        <f>SUM(R531:R534)</f>
        <v>3561.34</v>
      </c>
      <c r="K535" s="21"/>
    </row>
    <row r="536" spans="1:22" ht="14.25" x14ac:dyDescent="0.2">
      <c r="A536" s="18"/>
      <c r="B536" s="18"/>
      <c r="C536" s="18" t="s">
        <v>735</v>
      </c>
      <c r="D536" s="19" t="s">
        <v>734</v>
      </c>
      <c r="E536" s="9">
        <f>Source!AU437</f>
        <v>10</v>
      </c>
      <c r="F536" s="21"/>
      <c r="G536" s="20"/>
      <c r="H536" s="9"/>
      <c r="I536" s="9"/>
      <c r="J536" s="21">
        <f>SUM(T531:T535)</f>
        <v>508.76</v>
      </c>
      <c r="K536" s="21"/>
    </row>
    <row r="537" spans="1:22" ht="14.25" x14ac:dyDescent="0.2">
      <c r="A537" s="18"/>
      <c r="B537" s="18"/>
      <c r="C537" s="18" t="s">
        <v>736</v>
      </c>
      <c r="D537" s="19" t="s">
        <v>737</v>
      </c>
      <c r="E537" s="9">
        <f>Source!AQ437</f>
        <v>11.88</v>
      </c>
      <c r="F537" s="21"/>
      <c r="G537" s="20" t="str">
        <f>Source!DI437</f>
        <v/>
      </c>
      <c r="H537" s="9">
        <f>Source!AV437</f>
        <v>1</v>
      </c>
      <c r="I537" s="9"/>
      <c r="J537" s="21"/>
      <c r="K537" s="21">
        <f>Source!U437</f>
        <v>9.5040000000000013</v>
      </c>
    </row>
    <row r="538" spans="1:22" ht="15" x14ac:dyDescent="0.25">
      <c r="A538" s="23"/>
      <c r="B538" s="23"/>
      <c r="C538" s="23"/>
      <c r="D538" s="23"/>
      <c r="E538" s="23"/>
      <c r="F538" s="23"/>
      <c r="G538" s="23"/>
      <c r="H538" s="23"/>
      <c r="I538" s="51">
        <f>J533+J534+J535+J536</f>
        <v>9170.34</v>
      </c>
      <c r="J538" s="51"/>
      <c r="K538" s="24">
        <f>IF(Source!I437&lt;&gt;0, ROUND(I538/Source!I437, 2), 0)</f>
        <v>11462.93</v>
      </c>
      <c r="P538" s="22">
        <f>I538</f>
        <v>9170.34</v>
      </c>
    </row>
    <row r="539" spans="1:22" ht="71.25" x14ac:dyDescent="0.2">
      <c r="A539" s="18">
        <v>60</v>
      </c>
      <c r="B539" s="18" t="str">
        <f>Source!F438</f>
        <v>1.21-2103-9-6/1</v>
      </c>
      <c r="C539" s="18" t="str">
        <f>Source!G438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D539" s="19" t="str">
        <f>Source!H438</f>
        <v>100 м</v>
      </c>
      <c r="E539" s="9">
        <f>Source!I438</f>
        <v>0.56000000000000005</v>
      </c>
      <c r="F539" s="21"/>
      <c r="G539" s="20"/>
      <c r="H539" s="9"/>
      <c r="I539" s="9"/>
      <c r="J539" s="21"/>
      <c r="K539" s="21"/>
      <c r="Q539">
        <f>ROUND((Source!BZ438/100)*ROUND((Source!AF438*Source!AV438)*Source!I438, 2), 2)</f>
        <v>553.99</v>
      </c>
      <c r="R539">
        <f>Source!X438</f>
        <v>553.99</v>
      </c>
      <c r="S539">
        <f>ROUND((Source!CA438/100)*ROUND((Source!AF438*Source!AV438)*Source!I438, 2), 2)</f>
        <v>79.14</v>
      </c>
      <c r="T539">
        <f>Source!Y438</f>
        <v>79.14</v>
      </c>
      <c r="U539">
        <f>ROUND((175/100)*ROUND((Source!AE438*Source!AV438)*Source!I438, 2), 2)</f>
        <v>0</v>
      </c>
      <c r="V539">
        <f>ROUND((108/100)*ROUND(Source!CS438*Source!I438, 2), 2)</f>
        <v>0</v>
      </c>
    </row>
    <row r="540" spans="1:22" ht="25.5" x14ac:dyDescent="0.2">
      <c r="C540" s="25" t="str">
        <f>"Объем: "&amp;Source!I438&amp;"=(600+"&amp;"140+"&amp;"1860+"&amp;"20+"&amp;"180)*"&amp;"0,2*"&amp;"0,1/"&amp;"100"</f>
        <v>Объем: 0,56=(600+140+1860+20+180)*0,2*0,1/100</v>
      </c>
    </row>
    <row r="541" spans="1:22" ht="14.25" x14ac:dyDescent="0.2">
      <c r="A541" s="18"/>
      <c r="B541" s="18"/>
      <c r="C541" s="18" t="s">
        <v>731</v>
      </c>
      <c r="D541" s="19"/>
      <c r="E541" s="9"/>
      <c r="F541" s="21">
        <f>Source!AO438</f>
        <v>1413.23</v>
      </c>
      <c r="G541" s="20" t="str">
        <f>Source!DG438</f>
        <v/>
      </c>
      <c r="H541" s="9">
        <f>Source!AV438</f>
        <v>1</v>
      </c>
      <c r="I541" s="9">
        <f>IF(Source!BA438&lt;&gt; 0, Source!BA438, 1)</f>
        <v>1</v>
      </c>
      <c r="J541" s="21">
        <f>Source!S438</f>
        <v>791.41</v>
      </c>
      <c r="K541" s="21"/>
    </row>
    <row r="542" spans="1:22" ht="14.25" x14ac:dyDescent="0.2">
      <c r="A542" s="18"/>
      <c r="B542" s="18"/>
      <c r="C542" s="18" t="s">
        <v>732</v>
      </c>
      <c r="D542" s="19"/>
      <c r="E542" s="9"/>
      <c r="F542" s="21">
        <f>Source!AL438</f>
        <v>3.38</v>
      </c>
      <c r="G542" s="20" t="str">
        <f>Source!DD438</f>
        <v/>
      </c>
      <c r="H542" s="9">
        <f>Source!AW438</f>
        <v>1</v>
      </c>
      <c r="I542" s="9">
        <f>IF(Source!BC438&lt;&gt; 0, Source!BC438, 1)</f>
        <v>1</v>
      </c>
      <c r="J542" s="21">
        <f>Source!P438</f>
        <v>1.89</v>
      </c>
      <c r="K542" s="21"/>
    </row>
    <row r="543" spans="1:22" ht="14.25" x14ac:dyDescent="0.2">
      <c r="A543" s="18"/>
      <c r="B543" s="18"/>
      <c r="C543" s="18" t="s">
        <v>733</v>
      </c>
      <c r="D543" s="19" t="s">
        <v>734</v>
      </c>
      <c r="E543" s="9">
        <f>Source!AT438</f>
        <v>70</v>
      </c>
      <c r="F543" s="21"/>
      <c r="G543" s="20"/>
      <c r="H543" s="9"/>
      <c r="I543" s="9"/>
      <c r="J543" s="21">
        <f>SUM(R539:R542)</f>
        <v>553.99</v>
      </c>
      <c r="K543" s="21"/>
    </row>
    <row r="544" spans="1:22" ht="14.25" x14ac:dyDescent="0.2">
      <c r="A544" s="18"/>
      <c r="B544" s="18"/>
      <c r="C544" s="18" t="s">
        <v>735</v>
      </c>
      <c r="D544" s="19" t="s">
        <v>734</v>
      </c>
      <c r="E544" s="9">
        <f>Source!AU438</f>
        <v>10</v>
      </c>
      <c r="F544" s="21"/>
      <c r="G544" s="20"/>
      <c r="H544" s="9"/>
      <c r="I544" s="9"/>
      <c r="J544" s="21">
        <f>SUM(T539:T543)</f>
        <v>79.14</v>
      </c>
      <c r="K544" s="21"/>
    </row>
    <row r="545" spans="1:22" ht="14.25" x14ac:dyDescent="0.2">
      <c r="A545" s="18"/>
      <c r="B545" s="18"/>
      <c r="C545" s="18" t="s">
        <v>736</v>
      </c>
      <c r="D545" s="19" t="s">
        <v>737</v>
      </c>
      <c r="E545" s="9">
        <f>Source!AQ438</f>
        <v>2.64</v>
      </c>
      <c r="F545" s="21"/>
      <c r="G545" s="20" t="str">
        <f>Source!DI438</f>
        <v/>
      </c>
      <c r="H545" s="9">
        <f>Source!AV438</f>
        <v>1</v>
      </c>
      <c r="I545" s="9"/>
      <c r="J545" s="21"/>
      <c r="K545" s="21">
        <f>Source!U438</f>
        <v>1.4784000000000002</v>
      </c>
    </row>
    <row r="546" spans="1:22" ht="15" x14ac:dyDescent="0.25">
      <c r="A546" s="23"/>
      <c r="B546" s="23"/>
      <c r="C546" s="23"/>
      <c r="D546" s="23"/>
      <c r="E546" s="23"/>
      <c r="F546" s="23"/>
      <c r="G546" s="23"/>
      <c r="H546" s="23"/>
      <c r="I546" s="51">
        <f>J541+J542+J543+J544</f>
        <v>1426.43</v>
      </c>
      <c r="J546" s="51"/>
      <c r="K546" s="24">
        <f>IF(Source!I438&lt;&gt;0, ROUND(I546/Source!I438, 2), 0)</f>
        <v>2547.1999999999998</v>
      </c>
      <c r="P546" s="22">
        <f>I546</f>
        <v>1426.43</v>
      </c>
    </row>
    <row r="547" spans="1:22" ht="71.25" x14ac:dyDescent="0.2">
      <c r="A547" s="18">
        <v>61</v>
      </c>
      <c r="B547" s="18" t="str">
        <f>Source!F440</f>
        <v>1.21-2103-9-7/1</v>
      </c>
      <c r="C547" s="18" t="str">
        <f>Source!G440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D547" s="19" t="str">
        <f>Source!H440</f>
        <v>100 м</v>
      </c>
      <c r="E547" s="9">
        <f>Source!I440</f>
        <v>0.29899999999999999</v>
      </c>
      <c r="F547" s="21"/>
      <c r="G547" s="20"/>
      <c r="H547" s="9"/>
      <c r="I547" s="9"/>
      <c r="J547" s="21"/>
      <c r="K547" s="21"/>
      <c r="Q547">
        <f>ROUND((Source!BZ440/100)*ROUND((Source!AF440*Source!AV440)*Source!I440, 2), 2)</f>
        <v>1633.56</v>
      </c>
      <c r="R547">
        <f>Source!X440</f>
        <v>1633.56</v>
      </c>
      <c r="S547">
        <f>ROUND((Source!CA440/100)*ROUND((Source!AF440*Source!AV440)*Source!I440, 2), 2)</f>
        <v>233.37</v>
      </c>
      <c r="T547">
        <f>Source!Y440</f>
        <v>233.37</v>
      </c>
      <c r="U547">
        <f>ROUND((175/100)*ROUND((Source!AE440*Source!AV440)*Source!I440, 2), 2)</f>
        <v>0</v>
      </c>
      <c r="V547">
        <f>ROUND((108/100)*ROUND(Source!CS440*Source!I440, 2), 2)</f>
        <v>0</v>
      </c>
    </row>
    <row r="548" spans="1:22" ht="38.25" x14ac:dyDescent="0.2">
      <c r="C548" s="25" t="str">
        <f>"Объем: "&amp;Source!I440&amp;"=(415+"&amp;"175+"&amp;"210+"&amp;"560+"&amp;"25+"&amp;"30+"&amp;"80)*"&amp;"0,2*"&amp;"0,1/"&amp;"100"</f>
        <v>Объем: 0,299=(415+175+210+560+25+30+80)*0,2*0,1/100</v>
      </c>
    </row>
    <row r="549" spans="1:22" ht="14.25" x14ac:dyDescent="0.2">
      <c r="A549" s="18"/>
      <c r="B549" s="18"/>
      <c r="C549" s="18" t="s">
        <v>731</v>
      </c>
      <c r="D549" s="19"/>
      <c r="E549" s="9"/>
      <c r="F549" s="21">
        <f>Source!AO440</f>
        <v>7804.89</v>
      </c>
      <c r="G549" s="20" t="str">
        <f>Source!DG440</f>
        <v/>
      </c>
      <c r="H549" s="9">
        <f>Source!AV440</f>
        <v>1</v>
      </c>
      <c r="I549" s="9">
        <f>IF(Source!BA440&lt;&gt; 0, Source!BA440, 1)</f>
        <v>1</v>
      </c>
      <c r="J549" s="21">
        <f>Source!S440</f>
        <v>2333.66</v>
      </c>
      <c r="K549" s="21"/>
    </row>
    <row r="550" spans="1:22" ht="14.25" x14ac:dyDescent="0.2">
      <c r="A550" s="18"/>
      <c r="B550" s="18"/>
      <c r="C550" s="18" t="s">
        <v>732</v>
      </c>
      <c r="D550" s="19"/>
      <c r="E550" s="9"/>
      <c r="F550" s="21">
        <f>Source!AL440</f>
        <v>19.13</v>
      </c>
      <c r="G550" s="20" t="str">
        <f>Source!DD440</f>
        <v/>
      </c>
      <c r="H550" s="9">
        <f>Source!AW440</f>
        <v>1</v>
      </c>
      <c r="I550" s="9">
        <f>IF(Source!BC440&lt;&gt; 0, Source!BC440, 1)</f>
        <v>1</v>
      </c>
      <c r="J550" s="21">
        <f>Source!P440</f>
        <v>5.72</v>
      </c>
      <c r="K550" s="21"/>
    </row>
    <row r="551" spans="1:22" ht="14.25" x14ac:dyDescent="0.2">
      <c r="A551" s="18"/>
      <c r="B551" s="18"/>
      <c r="C551" s="18" t="s">
        <v>733</v>
      </c>
      <c r="D551" s="19" t="s">
        <v>734</v>
      </c>
      <c r="E551" s="9">
        <f>Source!AT440</f>
        <v>70</v>
      </c>
      <c r="F551" s="21"/>
      <c r="G551" s="20"/>
      <c r="H551" s="9"/>
      <c r="I551" s="9"/>
      <c r="J551" s="21">
        <f>SUM(R547:R550)</f>
        <v>1633.56</v>
      </c>
      <c r="K551" s="21"/>
    </row>
    <row r="552" spans="1:22" ht="14.25" x14ac:dyDescent="0.2">
      <c r="A552" s="18"/>
      <c r="B552" s="18"/>
      <c r="C552" s="18" t="s">
        <v>735</v>
      </c>
      <c r="D552" s="19" t="s">
        <v>734</v>
      </c>
      <c r="E552" s="9">
        <f>Source!AU440</f>
        <v>10</v>
      </c>
      <c r="F552" s="21"/>
      <c r="G552" s="20"/>
      <c r="H552" s="9"/>
      <c r="I552" s="9"/>
      <c r="J552" s="21">
        <f>SUM(T547:T551)</f>
        <v>233.37</v>
      </c>
      <c r="K552" s="21"/>
    </row>
    <row r="553" spans="1:22" ht="14.25" x14ac:dyDescent="0.2">
      <c r="A553" s="18"/>
      <c r="B553" s="18"/>
      <c r="C553" s="18" t="s">
        <v>736</v>
      </c>
      <c r="D553" s="19" t="s">
        <v>737</v>
      </c>
      <c r="E553" s="9">
        <f>Source!AQ440</f>
        <v>14.58</v>
      </c>
      <c r="F553" s="21"/>
      <c r="G553" s="20" t="str">
        <f>Source!DI440</f>
        <v/>
      </c>
      <c r="H553" s="9">
        <f>Source!AV440</f>
        <v>1</v>
      </c>
      <c r="I553" s="9"/>
      <c r="J553" s="21"/>
      <c r="K553" s="21">
        <f>Source!U440</f>
        <v>4.3594200000000001</v>
      </c>
    </row>
    <row r="554" spans="1:22" ht="15" x14ac:dyDescent="0.25">
      <c r="A554" s="23"/>
      <c r="B554" s="23"/>
      <c r="C554" s="23"/>
      <c r="D554" s="23"/>
      <c r="E554" s="23"/>
      <c r="F554" s="23"/>
      <c r="G554" s="23"/>
      <c r="H554" s="23"/>
      <c r="I554" s="51">
        <f>J549+J550+J551+J552</f>
        <v>4206.3099999999995</v>
      </c>
      <c r="J554" s="51"/>
      <c r="K554" s="24">
        <f>IF(Source!I440&lt;&gt;0, ROUND(I554/Source!I440, 2), 0)</f>
        <v>14067.93</v>
      </c>
      <c r="P554" s="22">
        <f>I554</f>
        <v>4206.3099999999995</v>
      </c>
    </row>
    <row r="555" spans="1:22" ht="71.25" x14ac:dyDescent="0.2">
      <c r="A555" s="18">
        <v>62</v>
      </c>
      <c r="B555" s="18" t="str">
        <f>Source!F441</f>
        <v>1.21-2103-9-8/1</v>
      </c>
      <c r="C555" s="18" t="str">
        <f>Source!G441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D555" s="19" t="str">
        <f>Source!H441</f>
        <v>100 м</v>
      </c>
      <c r="E555" s="9">
        <f>Source!I441</f>
        <v>0.29899999999999999</v>
      </c>
      <c r="F555" s="21"/>
      <c r="G555" s="20"/>
      <c r="H555" s="9"/>
      <c r="I555" s="9"/>
      <c r="J555" s="21"/>
      <c r="K555" s="21"/>
      <c r="Q555">
        <f>ROUND((Source!BZ441/100)*ROUND((Source!AF441*Source!AV441)*Source!I441, 2), 2)</f>
        <v>363.01</v>
      </c>
      <c r="R555">
        <f>Source!X441</f>
        <v>363.01</v>
      </c>
      <c r="S555">
        <f>ROUND((Source!CA441/100)*ROUND((Source!AF441*Source!AV441)*Source!I441, 2), 2)</f>
        <v>51.86</v>
      </c>
      <c r="T555">
        <f>Source!Y441</f>
        <v>51.86</v>
      </c>
      <c r="U555">
        <f>ROUND((175/100)*ROUND((Source!AE441*Source!AV441)*Source!I441, 2), 2)</f>
        <v>0</v>
      </c>
      <c r="V555">
        <f>ROUND((108/100)*ROUND(Source!CS441*Source!I441, 2), 2)</f>
        <v>0</v>
      </c>
    </row>
    <row r="556" spans="1:22" ht="38.25" x14ac:dyDescent="0.2">
      <c r="C556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57" spans="1:22" ht="14.25" x14ac:dyDescent="0.2">
      <c r="A557" s="18"/>
      <c r="B557" s="18"/>
      <c r="C557" s="18" t="s">
        <v>731</v>
      </c>
      <c r="D557" s="19"/>
      <c r="E557" s="9"/>
      <c r="F557" s="21">
        <f>Source!AO441</f>
        <v>1734.42</v>
      </c>
      <c r="G557" s="20" t="str">
        <f>Source!DG441</f>
        <v/>
      </c>
      <c r="H557" s="9">
        <f>Source!AV441</f>
        <v>1</v>
      </c>
      <c r="I557" s="9">
        <f>IF(Source!BA441&lt;&gt; 0, Source!BA441, 1)</f>
        <v>1</v>
      </c>
      <c r="J557" s="21">
        <f>Source!S441</f>
        <v>518.59</v>
      </c>
      <c r="K557" s="21"/>
    </row>
    <row r="558" spans="1:22" ht="14.25" x14ac:dyDescent="0.2">
      <c r="A558" s="18"/>
      <c r="B558" s="18"/>
      <c r="C558" s="18" t="s">
        <v>732</v>
      </c>
      <c r="D558" s="19"/>
      <c r="E558" s="9"/>
      <c r="F558" s="21">
        <f>Source!AL441</f>
        <v>4.13</v>
      </c>
      <c r="G558" s="20" t="str">
        <f>Source!DD441</f>
        <v/>
      </c>
      <c r="H558" s="9">
        <f>Source!AW441</f>
        <v>1</v>
      </c>
      <c r="I558" s="9">
        <f>IF(Source!BC441&lt;&gt; 0, Source!BC441, 1)</f>
        <v>1</v>
      </c>
      <c r="J558" s="21">
        <f>Source!P441</f>
        <v>1.23</v>
      </c>
      <c r="K558" s="21"/>
    </row>
    <row r="559" spans="1:22" ht="14.25" x14ac:dyDescent="0.2">
      <c r="A559" s="18"/>
      <c r="B559" s="18"/>
      <c r="C559" s="18" t="s">
        <v>733</v>
      </c>
      <c r="D559" s="19" t="s">
        <v>734</v>
      </c>
      <c r="E559" s="9">
        <f>Source!AT441</f>
        <v>70</v>
      </c>
      <c r="F559" s="21"/>
      <c r="G559" s="20"/>
      <c r="H559" s="9"/>
      <c r="I559" s="9"/>
      <c r="J559" s="21">
        <f>SUM(R555:R558)</f>
        <v>363.01</v>
      </c>
      <c r="K559" s="21"/>
    </row>
    <row r="560" spans="1:22" ht="14.25" x14ac:dyDescent="0.2">
      <c r="A560" s="18"/>
      <c r="B560" s="18"/>
      <c r="C560" s="18" t="s">
        <v>735</v>
      </c>
      <c r="D560" s="19" t="s">
        <v>734</v>
      </c>
      <c r="E560" s="9">
        <f>Source!AU441</f>
        <v>10</v>
      </c>
      <c r="F560" s="21"/>
      <c r="G560" s="20"/>
      <c r="H560" s="9"/>
      <c r="I560" s="9"/>
      <c r="J560" s="21">
        <f>SUM(T555:T559)</f>
        <v>51.86</v>
      </c>
      <c r="K560" s="21"/>
    </row>
    <row r="561" spans="1:22" ht="14.25" x14ac:dyDescent="0.2">
      <c r="A561" s="18"/>
      <c r="B561" s="18"/>
      <c r="C561" s="18" t="s">
        <v>736</v>
      </c>
      <c r="D561" s="19" t="s">
        <v>737</v>
      </c>
      <c r="E561" s="9">
        <f>Source!AQ441</f>
        <v>3.24</v>
      </c>
      <c r="F561" s="21"/>
      <c r="G561" s="20" t="str">
        <f>Source!DI441</f>
        <v/>
      </c>
      <c r="H561" s="9">
        <f>Source!AV441</f>
        <v>1</v>
      </c>
      <c r="I561" s="9"/>
      <c r="J561" s="21"/>
      <c r="K561" s="21">
        <f>Source!U441</f>
        <v>0.96876000000000007</v>
      </c>
    </row>
    <row r="562" spans="1:22" ht="15" x14ac:dyDescent="0.25">
      <c r="A562" s="23"/>
      <c r="B562" s="23"/>
      <c r="C562" s="23"/>
      <c r="D562" s="23"/>
      <c r="E562" s="23"/>
      <c r="F562" s="23"/>
      <c r="G562" s="23"/>
      <c r="H562" s="23"/>
      <c r="I562" s="51">
        <f>J557+J558+J559+J560</f>
        <v>934.69</v>
      </c>
      <c r="J562" s="51"/>
      <c r="K562" s="24">
        <f>IF(Source!I441&lt;&gt;0, ROUND(I562/Source!I441, 2), 0)</f>
        <v>3126.05</v>
      </c>
      <c r="P562" s="22">
        <f>I562</f>
        <v>934.69</v>
      </c>
    </row>
    <row r="564" spans="1:22" ht="15" customHeight="1" x14ac:dyDescent="0.25">
      <c r="B564" s="52" t="str">
        <f>Source!G443</f>
        <v>Система антиобледенения кровли</v>
      </c>
      <c r="C564" s="52"/>
      <c r="D564" s="52"/>
      <c r="E564" s="52"/>
      <c r="F564" s="52"/>
      <c r="G564" s="52"/>
      <c r="H564" s="52"/>
      <c r="I564" s="52"/>
      <c r="J564" s="52"/>
    </row>
    <row r="565" spans="1:22" ht="99.75" x14ac:dyDescent="0.2">
      <c r="A565" s="18">
        <v>63</v>
      </c>
      <c r="B565" s="18" t="str">
        <f>Source!F444</f>
        <v>1.23-2303-5-1/1</v>
      </c>
      <c r="C565" s="18" t="str">
        <f>Source!G444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D565" s="19" t="str">
        <f>Source!H444</f>
        <v>шт.</v>
      </c>
      <c r="E565" s="9">
        <f>Source!I444</f>
        <v>2</v>
      </c>
      <c r="F565" s="21"/>
      <c r="G565" s="20"/>
      <c r="H565" s="9"/>
      <c r="I565" s="9"/>
      <c r="J565" s="21"/>
      <c r="K565" s="21"/>
      <c r="Q565">
        <f>ROUND((Source!BZ444/100)*ROUND((Source!AF444*Source!AV444)*Source!I444, 2), 2)</f>
        <v>2284.0700000000002</v>
      </c>
      <c r="R565">
        <f>Source!X444</f>
        <v>2284.0700000000002</v>
      </c>
      <c r="S565">
        <f>ROUND((Source!CA444/100)*ROUND((Source!AF444*Source!AV444)*Source!I444, 2), 2)</f>
        <v>326.3</v>
      </c>
      <c r="T565">
        <f>Source!Y444</f>
        <v>326.3</v>
      </c>
      <c r="U565">
        <f>ROUND((175/100)*ROUND((Source!AE444*Source!AV444)*Source!I444, 2), 2)</f>
        <v>0</v>
      </c>
      <c r="V565">
        <f>ROUND((108/100)*ROUND(Source!CS444*Source!I444, 2), 2)</f>
        <v>0</v>
      </c>
    </row>
    <row r="566" spans="1:22" ht="14.25" x14ac:dyDescent="0.2">
      <c r="A566" s="18"/>
      <c r="B566" s="18"/>
      <c r="C566" s="18" t="s">
        <v>731</v>
      </c>
      <c r="D566" s="19"/>
      <c r="E566" s="9"/>
      <c r="F566" s="21">
        <f>Source!AO444</f>
        <v>815.74</v>
      </c>
      <c r="G566" s="20" t="str">
        <f>Source!DG444</f>
        <v>)*2</v>
      </c>
      <c r="H566" s="9">
        <f>Source!AV444</f>
        <v>1</v>
      </c>
      <c r="I566" s="9">
        <f>IF(Source!BA444&lt;&gt; 0, Source!BA444, 1)</f>
        <v>1</v>
      </c>
      <c r="J566" s="21">
        <f>Source!S444</f>
        <v>3262.96</v>
      </c>
      <c r="K566" s="21"/>
    </row>
    <row r="567" spans="1:22" ht="14.25" x14ac:dyDescent="0.2">
      <c r="A567" s="18"/>
      <c r="B567" s="18"/>
      <c r="C567" s="18" t="s">
        <v>733</v>
      </c>
      <c r="D567" s="19" t="s">
        <v>734</v>
      </c>
      <c r="E567" s="9">
        <f>Source!AT444</f>
        <v>70</v>
      </c>
      <c r="F567" s="21"/>
      <c r="G567" s="20"/>
      <c r="H567" s="9"/>
      <c r="I567" s="9"/>
      <c r="J567" s="21">
        <f>SUM(R565:R566)</f>
        <v>2284.0700000000002</v>
      </c>
      <c r="K567" s="21"/>
    </row>
    <row r="568" spans="1:22" ht="14.25" x14ac:dyDescent="0.2">
      <c r="A568" s="18"/>
      <c r="B568" s="18"/>
      <c r="C568" s="18" t="s">
        <v>735</v>
      </c>
      <c r="D568" s="19" t="s">
        <v>734</v>
      </c>
      <c r="E568" s="9">
        <f>Source!AU444</f>
        <v>10</v>
      </c>
      <c r="F568" s="21"/>
      <c r="G568" s="20"/>
      <c r="H568" s="9"/>
      <c r="I568" s="9"/>
      <c r="J568" s="21">
        <f>SUM(T565:T567)</f>
        <v>326.3</v>
      </c>
      <c r="K568" s="21"/>
    </row>
    <row r="569" spans="1:22" ht="14.25" x14ac:dyDescent="0.2">
      <c r="A569" s="18"/>
      <c r="B569" s="18"/>
      <c r="C569" s="18" t="s">
        <v>736</v>
      </c>
      <c r="D569" s="19" t="s">
        <v>737</v>
      </c>
      <c r="E569" s="9">
        <f>Source!AQ444</f>
        <v>1.06</v>
      </c>
      <c r="F569" s="21"/>
      <c r="G569" s="20" t="str">
        <f>Source!DI444</f>
        <v>)*2</v>
      </c>
      <c r="H569" s="9">
        <f>Source!AV444</f>
        <v>1</v>
      </c>
      <c r="I569" s="9"/>
      <c r="J569" s="21"/>
      <c r="K569" s="21">
        <f>Source!U444</f>
        <v>4.24</v>
      </c>
    </row>
    <row r="570" spans="1:22" ht="15" x14ac:dyDescent="0.25">
      <c r="A570" s="23"/>
      <c r="B570" s="23"/>
      <c r="C570" s="23"/>
      <c r="D570" s="23"/>
      <c r="E570" s="23"/>
      <c r="F570" s="23"/>
      <c r="G570" s="23"/>
      <c r="H570" s="23"/>
      <c r="I570" s="51">
        <f>J566+J567+J568</f>
        <v>5873.3300000000008</v>
      </c>
      <c r="J570" s="51"/>
      <c r="K570" s="24">
        <f>IF(Source!I444&lt;&gt;0, ROUND(I570/Source!I444, 2), 0)</f>
        <v>2936.67</v>
      </c>
      <c r="P570" s="22">
        <f>I570</f>
        <v>5873.3300000000008</v>
      </c>
    </row>
    <row r="571" spans="1:22" ht="85.5" x14ac:dyDescent="0.2">
      <c r="A571" s="18">
        <v>64</v>
      </c>
      <c r="B571" s="18" t="str">
        <f>Source!F446</f>
        <v>1.23-2103-9-8/1</v>
      </c>
      <c r="C571" s="18" t="str">
        <f>Source!G446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D571" s="19" t="str">
        <f>Source!H446</f>
        <v>шт.</v>
      </c>
      <c r="E571" s="9">
        <f>Source!I446</f>
        <v>2</v>
      </c>
      <c r="F571" s="21"/>
      <c r="G571" s="20"/>
      <c r="H571" s="9"/>
      <c r="I571" s="9"/>
      <c r="J571" s="21"/>
      <c r="K571" s="21"/>
      <c r="Q571">
        <f>ROUND((Source!BZ446/100)*ROUND((Source!AF446*Source!AV446)*Source!I446, 2), 2)</f>
        <v>1417.75</v>
      </c>
      <c r="R571">
        <f>Source!X446</f>
        <v>1417.75</v>
      </c>
      <c r="S571">
        <f>ROUND((Source!CA446/100)*ROUND((Source!AF446*Source!AV446)*Source!I446, 2), 2)</f>
        <v>202.54</v>
      </c>
      <c r="T571">
        <f>Source!Y446</f>
        <v>202.54</v>
      </c>
      <c r="U571">
        <f>ROUND((175/100)*ROUND((Source!AE446*Source!AV446)*Source!I446, 2), 2)</f>
        <v>0</v>
      </c>
      <c r="V571">
        <f>ROUND((108/100)*ROUND(Source!CS446*Source!I446, 2), 2)</f>
        <v>0</v>
      </c>
    </row>
    <row r="572" spans="1:22" ht="14.25" x14ac:dyDescent="0.2">
      <c r="A572" s="18"/>
      <c r="B572" s="18"/>
      <c r="C572" s="18" t="s">
        <v>731</v>
      </c>
      <c r="D572" s="19"/>
      <c r="E572" s="9"/>
      <c r="F572" s="21">
        <f>Source!AO446</f>
        <v>506.34</v>
      </c>
      <c r="G572" s="20" t="str">
        <f>Source!DG446</f>
        <v>)*2</v>
      </c>
      <c r="H572" s="9">
        <f>Source!AV446</f>
        <v>1</v>
      </c>
      <c r="I572" s="9">
        <f>IF(Source!BA446&lt;&gt; 0, Source!BA446, 1)</f>
        <v>1</v>
      </c>
      <c r="J572" s="21">
        <f>Source!S446</f>
        <v>2025.36</v>
      </c>
      <c r="K572" s="21"/>
    </row>
    <row r="573" spans="1:22" ht="14.25" x14ac:dyDescent="0.2">
      <c r="A573" s="18"/>
      <c r="B573" s="18"/>
      <c r="C573" s="18" t="s">
        <v>733</v>
      </c>
      <c r="D573" s="19" t="s">
        <v>734</v>
      </c>
      <c r="E573" s="9">
        <f>Source!AT446</f>
        <v>70</v>
      </c>
      <c r="F573" s="21"/>
      <c r="G573" s="20"/>
      <c r="H573" s="9"/>
      <c r="I573" s="9"/>
      <c r="J573" s="21">
        <f>SUM(R571:R572)</f>
        <v>1417.75</v>
      </c>
      <c r="K573" s="21"/>
    </row>
    <row r="574" spans="1:22" ht="14.25" x14ac:dyDescent="0.2">
      <c r="A574" s="18"/>
      <c r="B574" s="18"/>
      <c r="C574" s="18" t="s">
        <v>735</v>
      </c>
      <c r="D574" s="19" t="s">
        <v>734</v>
      </c>
      <c r="E574" s="9">
        <f>Source!AU446</f>
        <v>10</v>
      </c>
      <c r="F574" s="21"/>
      <c r="G574" s="20"/>
      <c r="H574" s="9"/>
      <c r="I574" s="9"/>
      <c r="J574" s="21">
        <f>SUM(T571:T573)</f>
        <v>202.54</v>
      </c>
      <c r="K574" s="21"/>
    </row>
    <row r="575" spans="1:22" ht="14.25" x14ac:dyDescent="0.2">
      <c r="A575" s="18"/>
      <c r="B575" s="18"/>
      <c r="C575" s="18" t="s">
        <v>736</v>
      </c>
      <c r="D575" s="19" t="s">
        <v>737</v>
      </c>
      <c r="E575" s="9">
        <f>Source!AQ446</f>
        <v>0.82</v>
      </c>
      <c r="F575" s="21"/>
      <c r="G575" s="20" t="str">
        <f>Source!DI446</f>
        <v>)*2</v>
      </c>
      <c r="H575" s="9">
        <f>Source!AV446</f>
        <v>1</v>
      </c>
      <c r="I575" s="9"/>
      <c r="J575" s="21"/>
      <c r="K575" s="21">
        <f>Source!U446</f>
        <v>3.28</v>
      </c>
    </row>
    <row r="576" spans="1:22" ht="15" x14ac:dyDescent="0.25">
      <c r="A576" s="23"/>
      <c r="B576" s="23"/>
      <c r="C576" s="23"/>
      <c r="D576" s="23"/>
      <c r="E576" s="23"/>
      <c r="F576" s="23"/>
      <c r="G576" s="23"/>
      <c r="H576" s="23"/>
      <c r="I576" s="51">
        <f>J572+J573+J574</f>
        <v>3645.6499999999996</v>
      </c>
      <c r="J576" s="51"/>
      <c r="K576" s="24">
        <f>IF(Source!I446&lt;&gt;0, ROUND(I576/Source!I446, 2), 0)</f>
        <v>1822.83</v>
      </c>
      <c r="P576" s="22">
        <f>I576</f>
        <v>3645.6499999999996</v>
      </c>
    </row>
    <row r="577" spans="1:22" ht="42.75" x14ac:dyDescent="0.2">
      <c r="A577" s="18">
        <v>65</v>
      </c>
      <c r="B577" s="18" t="str">
        <f>Source!F447</f>
        <v>1.23-2103-15-1/1</v>
      </c>
      <c r="C577" s="18" t="str">
        <f>Source!G447</f>
        <v>Техническое обслуживание сигнализатора уровня /Датчик осадков КСТ-020 3,0</v>
      </c>
      <c r="D577" s="19" t="str">
        <f>Source!H447</f>
        <v>шт.</v>
      </c>
      <c r="E577" s="9">
        <f>Source!I447</f>
        <v>2</v>
      </c>
      <c r="F577" s="21"/>
      <c r="G577" s="20"/>
      <c r="H577" s="9"/>
      <c r="I577" s="9"/>
      <c r="J577" s="21"/>
      <c r="K577" s="21"/>
      <c r="Q577">
        <f>ROUND((Source!BZ447/100)*ROUND((Source!AF447*Source!AV447)*Source!I447, 2), 2)</f>
        <v>2136.71</v>
      </c>
      <c r="R577">
        <f>Source!X447</f>
        <v>2136.71</v>
      </c>
      <c r="S577">
        <f>ROUND((Source!CA447/100)*ROUND((Source!AF447*Source!AV447)*Source!I447, 2), 2)</f>
        <v>305.24</v>
      </c>
      <c r="T577">
        <f>Source!Y447</f>
        <v>305.24</v>
      </c>
      <c r="U577">
        <f>ROUND((175/100)*ROUND((Source!AE447*Source!AV447)*Source!I447, 2), 2)</f>
        <v>0</v>
      </c>
      <c r="V577">
        <f>ROUND((108/100)*ROUND(Source!CS447*Source!I447, 2), 2)</f>
        <v>0</v>
      </c>
    </row>
    <row r="578" spans="1:22" ht="14.25" x14ac:dyDescent="0.2">
      <c r="A578" s="18"/>
      <c r="B578" s="18"/>
      <c r="C578" s="18" t="s">
        <v>731</v>
      </c>
      <c r="D578" s="19"/>
      <c r="E578" s="9"/>
      <c r="F578" s="21">
        <f>Source!AO447</f>
        <v>763.11</v>
      </c>
      <c r="G578" s="20" t="str">
        <f>Source!DG447</f>
        <v>)*2</v>
      </c>
      <c r="H578" s="9">
        <f>Source!AV447</f>
        <v>1</v>
      </c>
      <c r="I578" s="9">
        <f>IF(Source!BA447&lt;&gt; 0, Source!BA447, 1)</f>
        <v>1</v>
      </c>
      <c r="J578" s="21">
        <f>Source!S447</f>
        <v>3052.44</v>
      </c>
      <c r="K578" s="21"/>
    </row>
    <row r="579" spans="1:22" ht="14.25" x14ac:dyDescent="0.2">
      <c r="A579" s="18"/>
      <c r="B579" s="18"/>
      <c r="C579" s="18" t="s">
        <v>732</v>
      </c>
      <c r="D579" s="19"/>
      <c r="E579" s="9"/>
      <c r="F579" s="21">
        <f>Source!AL447</f>
        <v>22.54</v>
      </c>
      <c r="G579" s="20" t="str">
        <f>Source!DD447</f>
        <v>)*2</v>
      </c>
      <c r="H579" s="9">
        <f>Source!AW447</f>
        <v>1</v>
      </c>
      <c r="I579" s="9">
        <f>IF(Source!BC447&lt;&gt; 0, Source!BC447, 1)</f>
        <v>1</v>
      </c>
      <c r="J579" s="21">
        <f>Source!P447</f>
        <v>90.16</v>
      </c>
      <c r="K579" s="21"/>
    </row>
    <row r="580" spans="1:22" ht="14.25" x14ac:dyDescent="0.2">
      <c r="A580" s="18"/>
      <c r="B580" s="18"/>
      <c r="C580" s="18" t="s">
        <v>733</v>
      </c>
      <c r="D580" s="19" t="s">
        <v>734</v>
      </c>
      <c r="E580" s="9">
        <f>Source!AT447</f>
        <v>70</v>
      </c>
      <c r="F580" s="21"/>
      <c r="G580" s="20"/>
      <c r="H580" s="9"/>
      <c r="I580" s="9"/>
      <c r="J580" s="21">
        <f>SUM(R577:R579)</f>
        <v>2136.71</v>
      </c>
      <c r="K580" s="21"/>
    </row>
    <row r="581" spans="1:22" ht="14.25" x14ac:dyDescent="0.2">
      <c r="A581" s="18"/>
      <c r="B581" s="18"/>
      <c r="C581" s="18" t="s">
        <v>735</v>
      </c>
      <c r="D581" s="19" t="s">
        <v>734</v>
      </c>
      <c r="E581" s="9">
        <f>Source!AU447</f>
        <v>10</v>
      </c>
      <c r="F581" s="21"/>
      <c r="G581" s="20"/>
      <c r="H581" s="9"/>
      <c r="I581" s="9"/>
      <c r="J581" s="21">
        <f>SUM(T577:T580)</f>
        <v>305.24</v>
      </c>
      <c r="K581" s="21"/>
    </row>
    <row r="582" spans="1:22" ht="14.25" x14ac:dyDescent="0.2">
      <c r="A582" s="18"/>
      <c r="B582" s="18"/>
      <c r="C582" s="18" t="s">
        <v>736</v>
      </c>
      <c r="D582" s="19" t="s">
        <v>737</v>
      </c>
      <c r="E582" s="9">
        <f>Source!AQ447</f>
        <v>0.92</v>
      </c>
      <c r="F582" s="21"/>
      <c r="G582" s="20" t="str">
        <f>Source!DI447</f>
        <v>)*2</v>
      </c>
      <c r="H582" s="9">
        <f>Source!AV447</f>
        <v>1</v>
      </c>
      <c r="I582" s="9"/>
      <c r="J582" s="21"/>
      <c r="K582" s="21">
        <f>Source!U447</f>
        <v>3.68</v>
      </c>
    </row>
    <row r="583" spans="1:22" ht="15" x14ac:dyDescent="0.25">
      <c r="A583" s="23"/>
      <c r="B583" s="23"/>
      <c r="C583" s="23"/>
      <c r="D583" s="23"/>
      <c r="E583" s="23"/>
      <c r="F583" s="23"/>
      <c r="G583" s="23"/>
      <c r="H583" s="23"/>
      <c r="I583" s="51">
        <f>J578+J579+J580+J581</f>
        <v>5584.5499999999993</v>
      </c>
      <c r="J583" s="51"/>
      <c r="K583" s="24">
        <f>IF(Source!I447&lt;&gt;0, ROUND(I583/Source!I447, 2), 0)</f>
        <v>2792.28</v>
      </c>
      <c r="P583" s="22">
        <f>I583</f>
        <v>5584.5499999999993</v>
      </c>
    </row>
    <row r="584" spans="1:22" ht="57" x14ac:dyDescent="0.2">
      <c r="A584" s="18">
        <v>66</v>
      </c>
      <c r="B584" s="18" t="str">
        <f>Source!F448</f>
        <v>1.21-2103-9-2/1</v>
      </c>
      <c r="C584" s="18" t="str">
        <f>Source!G448</f>
        <v>Техническое обслуживание силовых сетей, проложенных по кирпичным и бетонным основаниям, провод сечением 3х1,5-6 мм2</v>
      </c>
      <c r="D584" s="19" t="str">
        <f>Source!H448</f>
        <v>100 м</v>
      </c>
      <c r="E584" s="9">
        <f>Source!I448</f>
        <v>0.05</v>
      </c>
      <c r="F584" s="21"/>
      <c r="G584" s="20"/>
      <c r="H584" s="9"/>
      <c r="I584" s="9"/>
      <c r="J584" s="21"/>
      <c r="K584" s="21"/>
      <c r="Q584">
        <f>ROUND((Source!BZ448/100)*ROUND((Source!AF448*Source!AV448)*Source!I448, 2), 2)</f>
        <v>187.36</v>
      </c>
      <c r="R584">
        <f>Source!X448</f>
        <v>187.36</v>
      </c>
      <c r="S584">
        <f>ROUND((Source!CA448/100)*ROUND((Source!AF448*Source!AV448)*Source!I448, 2), 2)</f>
        <v>26.77</v>
      </c>
      <c r="T584">
        <f>Source!Y448</f>
        <v>26.77</v>
      </c>
      <c r="U584">
        <f>ROUND((175/100)*ROUND((Source!AE448*Source!AV448)*Source!I448, 2), 2)</f>
        <v>0</v>
      </c>
      <c r="V584">
        <f>ROUND((108/100)*ROUND(Source!CS448*Source!I448, 2), 2)</f>
        <v>0</v>
      </c>
    </row>
    <row r="585" spans="1:22" x14ac:dyDescent="0.2">
      <c r="C585" s="25" t="str">
        <f>"Объем: "&amp;Source!I448&amp;"=(250)*"&amp;"0,2*"&amp;"0,1/"&amp;"100"</f>
        <v>Объем: 0,05=(250)*0,2*0,1/100</v>
      </c>
    </row>
    <row r="586" spans="1:22" ht="14.25" x14ac:dyDescent="0.2">
      <c r="A586" s="18"/>
      <c r="B586" s="18"/>
      <c r="C586" s="18" t="s">
        <v>731</v>
      </c>
      <c r="D586" s="19"/>
      <c r="E586" s="9"/>
      <c r="F586" s="21">
        <f>Source!AO448</f>
        <v>5353.15</v>
      </c>
      <c r="G586" s="20" t="str">
        <f>Source!DG448</f>
        <v/>
      </c>
      <c r="H586" s="9">
        <f>Source!AV448</f>
        <v>1</v>
      </c>
      <c r="I586" s="9">
        <f>IF(Source!BA448&lt;&gt; 0, Source!BA448, 1)</f>
        <v>1</v>
      </c>
      <c r="J586" s="21">
        <f>Source!S448</f>
        <v>267.66000000000003</v>
      </c>
      <c r="K586" s="21"/>
    </row>
    <row r="587" spans="1:22" ht="14.25" x14ac:dyDescent="0.2">
      <c r="A587" s="18"/>
      <c r="B587" s="18"/>
      <c r="C587" s="18" t="s">
        <v>732</v>
      </c>
      <c r="D587" s="19"/>
      <c r="E587" s="9"/>
      <c r="F587" s="21">
        <f>Source!AL448</f>
        <v>22.51</v>
      </c>
      <c r="G587" s="20" t="str">
        <f>Source!DD448</f>
        <v/>
      </c>
      <c r="H587" s="9">
        <f>Source!AW448</f>
        <v>1</v>
      </c>
      <c r="I587" s="9">
        <f>IF(Source!BC448&lt;&gt; 0, Source!BC448, 1)</f>
        <v>1</v>
      </c>
      <c r="J587" s="21">
        <f>Source!P448</f>
        <v>1.1299999999999999</v>
      </c>
      <c r="K587" s="21"/>
    </row>
    <row r="588" spans="1:22" ht="14.25" x14ac:dyDescent="0.2">
      <c r="A588" s="18"/>
      <c r="B588" s="18"/>
      <c r="C588" s="18" t="s">
        <v>733</v>
      </c>
      <c r="D588" s="19" t="s">
        <v>734</v>
      </c>
      <c r="E588" s="9">
        <f>Source!AT448</f>
        <v>70</v>
      </c>
      <c r="F588" s="21"/>
      <c r="G588" s="20"/>
      <c r="H588" s="9"/>
      <c r="I588" s="9"/>
      <c r="J588" s="21">
        <f>SUM(R584:R587)</f>
        <v>187.36</v>
      </c>
      <c r="K588" s="21"/>
    </row>
    <row r="589" spans="1:22" ht="14.25" x14ac:dyDescent="0.2">
      <c r="A589" s="18"/>
      <c r="B589" s="18"/>
      <c r="C589" s="18" t="s">
        <v>735</v>
      </c>
      <c r="D589" s="19" t="s">
        <v>734</v>
      </c>
      <c r="E589" s="9">
        <f>Source!AU448</f>
        <v>10</v>
      </c>
      <c r="F589" s="21"/>
      <c r="G589" s="20"/>
      <c r="H589" s="9"/>
      <c r="I589" s="9"/>
      <c r="J589" s="21">
        <f>SUM(T584:T588)</f>
        <v>26.77</v>
      </c>
      <c r="K589" s="21"/>
    </row>
    <row r="590" spans="1:22" ht="14.25" x14ac:dyDescent="0.2">
      <c r="A590" s="18"/>
      <c r="B590" s="18"/>
      <c r="C590" s="18" t="s">
        <v>736</v>
      </c>
      <c r="D590" s="19" t="s">
        <v>737</v>
      </c>
      <c r="E590" s="9">
        <f>Source!AQ448</f>
        <v>10</v>
      </c>
      <c r="F590" s="21"/>
      <c r="G590" s="20" t="str">
        <f>Source!DI448</f>
        <v/>
      </c>
      <c r="H590" s="9">
        <f>Source!AV448</f>
        <v>1</v>
      </c>
      <c r="I590" s="9"/>
      <c r="J590" s="21"/>
      <c r="K590" s="21">
        <f>Source!U448</f>
        <v>0.5</v>
      </c>
    </row>
    <row r="591" spans="1:22" ht="15" x14ac:dyDescent="0.25">
      <c r="A591" s="23"/>
      <c r="B591" s="23"/>
      <c r="C591" s="23"/>
      <c r="D591" s="23"/>
      <c r="E591" s="23"/>
      <c r="F591" s="23"/>
      <c r="G591" s="23"/>
      <c r="H591" s="23"/>
      <c r="I591" s="51">
        <f>J586+J587+J588+J589</f>
        <v>482.92</v>
      </c>
      <c r="J591" s="51"/>
      <c r="K591" s="24">
        <f>IF(Source!I448&lt;&gt;0, ROUND(I591/Source!I448, 2), 0)</f>
        <v>9658.4</v>
      </c>
      <c r="P591" s="22">
        <f>I591</f>
        <v>482.92</v>
      </c>
    </row>
    <row r="593" spans="1:22" ht="15" customHeight="1" x14ac:dyDescent="0.25">
      <c r="A593" s="54" t="str">
        <f>CONCATENATE("Итого по подразделу: ",IF(Source!G451&lt;&gt;"Новый подраздел", Source!G451, ""))</f>
        <v>Итого по подразделу: 4.4  Кабельно-проводниковая продукция</v>
      </c>
      <c r="B593" s="54"/>
      <c r="C593" s="54"/>
      <c r="D593" s="54"/>
      <c r="E593" s="54"/>
      <c r="F593" s="54"/>
      <c r="G593" s="54"/>
      <c r="H593" s="54"/>
      <c r="I593" s="53">
        <f>SUM(P506:P592)</f>
        <v>77096.869999999981</v>
      </c>
      <c r="J593" s="53"/>
      <c r="K593" s="26"/>
    </row>
    <row r="596" spans="1:22" ht="16.5" customHeight="1" x14ac:dyDescent="0.25">
      <c r="A596" s="50" t="str">
        <f>CONCATENATE("Подраздел: ",IF(Source!G481&lt;&gt;"Новый подраздел", Source!G481, ""))</f>
        <v>Подраздел: 4.5  Электроустановочные изделия</v>
      </c>
      <c r="B596" s="50"/>
      <c r="C596" s="50"/>
      <c r="D596" s="50"/>
      <c r="E596" s="50"/>
      <c r="F596" s="50"/>
      <c r="G596" s="50"/>
      <c r="H596" s="50"/>
      <c r="I596" s="50"/>
      <c r="J596" s="50"/>
      <c r="K596" s="50"/>
    </row>
    <row r="597" spans="1:22" ht="71.25" x14ac:dyDescent="0.2">
      <c r="A597" s="18">
        <v>67</v>
      </c>
      <c r="B597" s="18" t="str">
        <f>Source!F486</f>
        <v>1.21-2303-37-1/1</v>
      </c>
      <c r="C597" s="18" t="str">
        <f>Source!G486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597" s="19" t="str">
        <f>Source!H486</f>
        <v>10 шт.</v>
      </c>
      <c r="E597" s="9">
        <f>Source!I486</f>
        <v>4</v>
      </c>
      <c r="F597" s="21"/>
      <c r="G597" s="20"/>
      <c r="H597" s="9"/>
      <c r="I597" s="9"/>
      <c r="J597" s="21"/>
      <c r="K597" s="21"/>
      <c r="Q597">
        <f>ROUND((Source!BZ486/100)*ROUND((Source!AF486*Source!AV486)*Source!I486, 2), 2)</f>
        <v>311.22000000000003</v>
      </c>
      <c r="R597">
        <f>Source!X486</f>
        <v>311.22000000000003</v>
      </c>
      <c r="S597">
        <f>ROUND((Source!CA486/100)*ROUND((Source!AF486*Source!AV486)*Source!I486, 2), 2)</f>
        <v>44.46</v>
      </c>
      <c r="T597">
        <f>Source!Y486</f>
        <v>44.46</v>
      </c>
      <c r="U597">
        <f>ROUND((175/100)*ROUND((Source!AE486*Source!AV486)*Source!I486, 2), 2)</f>
        <v>0</v>
      </c>
      <c r="V597">
        <f>ROUND((108/100)*ROUND(Source!CS486*Source!I486, 2), 2)</f>
        <v>0</v>
      </c>
    </row>
    <row r="598" spans="1:22" x14ac:dyDescent="0.2">
      <c r="C598" s="25" t="str">
        <f>"Объем: "&amp;Source!I486&amp;"=(28+"&amp;"7+"&amp;"4+"&amp;"1)/"&amp;"10"</f>
        <v>Объем: 4=(28+7+4+1)/10</v>
      </c>
    </row>
    <row r="599" spans="1:22" ht="14.25" x14ac:dyDescent="0.2">
      <c r="A599" s="18"/>
      <c r="B599" s="18"/>
      <c r="C599" s="18" t="s">
        <v>731</v>
      </c>
      <c r="D599" s="19"/>
      <c r="E599" s="9"/>
      <c r="F599" s="21">
        <f>Source!AO486</f>
        <v>111.15</v>
      </c>
      <c r="G599" s="20" t="str">
        <f>Source!DG486</f>
        <v/>
      </c>
      <c r="H599" s="9">
        <f>Source!AV486</f>
        <v>1</v>
      </c>
      <c r="I599" s="9">
        <f>IF(Source!BA486&lt;&gt; 0, Source!BA486, 1)</f>
        <v>1</v>
      </c>
      <c r="J599" s="21">
        <f>Source!S486</f>
        <v>444.6</v>
      </c>
      <c r="K599" s="21"/>
    </row>
    <row r="600" spans="1:22" ht="14.25" x14ac:dyDescent="0.2">
      <c r="A600" s="18"/>
      <c r="B600" s="18"/>
      <c r="C600" s="18" t="s">
        <v>732</v>
      </c>
      <c r="D600" s="19"/>
      <c r="E600" s="9"/>
      <c r="F600" s="21">
        <f>Source!AL486</f>
        <v>6.3</v>
      </c>
      <c r="G600" s="20" t="str">
        <f>Source!DD486</f>
        <v/>
      </c>
      <c r="H600" s="9">
        <f>Source!AW486</f>
        <v>1</v>
      </c>
      <c r="I600" s="9">
        <f>IF(Source!BC486&lt;&gt; 0, Source!BC486, 1)</f>
        <v>1</v>
      </c>
      <c r="J600" s="21">
        <f>Source!P486</f>
        <v>25.2</v>
      </c>
      <c r="K600" s="21"/>
    </row>
    <row r="601" spans="1:22" ht="14.25" x14ac:dyDescent="0.2">
      <c r="A601" s="18"/>
      <c r="B601" s="18"/>
      <c r="C601" s="18" t="s">
        <v>733</v>
      </c>
      <c r="D601" s="19" t="s">
        <v>734</v>
      </c>
      <c r="E601" s="9">
        <f>Source!AT486</f>
        <v>70</v>
      </c>
      <c r="F601" s="21"/>
      <c r="G601" s="20"/>
      <c r="H601" s="9"/>
      <c r="I601" s="9"/>
      <c r="J601" s="21">
        <f>SUM(R597:R600)</f>
        <v>311.22000000000003</v>
      </c>
      <c r="K601" s="21"/>
    </row>
    <row r="602" spans="1:22" ht="14.25" x14ac:dyDescent="0.2">
      <c r="A602" s="18"/>
      <c r="B602" s="18"/>
      <c r="C602" s="18" t="s">
        <v>735</v>
      </c>
      <c r="D602" s="19" t="s">
        <v>734</v>
      </c>
      <c r="E602" s="9">
        <f>Source!AU486</f>
        <v>10</v>
      </c>
      <c r="F602" s="21"/>
      <c r="G602" s="20"/>
      <c r="H602" s="9"/>
      <c r="I602" s="9"/>
      <c r="J602" s="21">
        <f>SUM(T597:T601)</f>
        <v>44.46</v>
      </c>
      <c r="K602" s="21"/>
    </row>
    <row r="603" spans="1:22" ht="14.25" x14ac:dyDescent="0.2">
      <c r="A603" s="18"/>
      <c r="B603" s="18"/>
      <c r="C603" s="18" t="s">
        <v>736</v>
      </c>
      <c r="D603" s="19" t="s">
        <v>737</v>
      </c>
      <c r="E603" s="9">
        <f>Source!AQ486</f>
        <v>0.18</v>
      </c>
      <c r="F603" s="21"/>
      <c r="G603" s="20" t="str">
        <f>Source!DI486</f>
        <v/>
      </c>
      <c r="H603" s="9">
        <f>Source!AV486</f>
        <v>1</v>
      </c>
      <c r="I603" s="9"/>
      <c r="J603" s="21"/>
      <c r="K603" s="21">
        <f>Source!U486</f>
        <v>0.72</v>
      </c>
    </row>
    <row r="604" spans="1:22" ht="15" x14ac:dyDescent="0.25">
      <c r="A604" s="23"/>
      <c r="B604" s="23"/>
      <c r="C604" s="23"/>
      <c r="D604" s="23"/>
      <c r="E604" s="23"/>
      <c r="F604" s="23"/>
      <c r="G604" s="23"/>
      <c r="H604" s="23"/>
      <c r="I604" s="51">
        <f>J599+J600+J601+J602</f>
        <v>825.48</v>
      </c>
      <c r="J604" s="51"/>
      <c r="K604" s="24">
        <f>IF(Source!I486&lt;&gt;0, ROUND(I604/Source!I486, 2), 0)</f>
        <v>206.37</v>
      </c>
      <c r="P604" s="22">
        <f>I604</f>
        <v>825.48</v>
      </c>
    </row>
    <row r="606" spans="1:22" ht="15" customHeight="1" x14ac:dyDescent="0.25">
      <c r="A606" s="54" t="str">
        <f>CONCATENATE("Итого по подразделу: ",IF(Source!G490&lt;&gt;"Новый подраздел", Source!G490, ""))</f>
        <v>Итого по подразделу: 4.5  Электроустановочные изделия</v>
      </c>
      <c r="B606" s="54"/>
      <c r="C606" s="54"/>
      <c r="D606" s="54"/>
      <c r="E606" s="54"/>
      <c r="F606" s="54"/>
      <c r="G606" s="54"/>
      <c r="H606" s="54"/>
      <c r="I606" s="53">
        <f>SUM(P596:P605)</f>
        <v>825.48</v>
      </c>
      <c r="J606" s="53"/>
      <c r="K606" s="26"/>
    </row>
    <row r="609" spans="1:22" ht="16.5" customHeight="1" x14ac:dyDescent="0.25">
      <c r="A609" s="50" t="str">
        <f>CONCATENATE("Подраздел: ",IF(Source!G520&lt;&gt;"Новый подраздел", Source!G520, ""))</f>
        <v>Подраздел: 4.6  Щитовое оборудование</v>
      </c>
      <c r="B609" s="50"/>
      <c r="C609" s="50"/>
      <c r="D609" s="50"/>
      <c r="E609" s="50"/>
      <c r="F609" s="50"/>
      <c r="G609" s="50"/>
      <c r="H609" s="50"/>
      <c r="I609" s="50"/>
      <c r="J609" s="50"/>
      <c r="K609" s="50"/>
    </row>
    <row r="610" spans="1:22" ht="57" x14ac:dyDescent="0.2">
      <c r="A610" s="18">
        <v>68</v>
      </c>
      <c r="B610" s="18" t="str">
        <f>Source!F524</f>
        <v>1.21-2203-2-5/1</v>
      </c>
      <c r="C610" s="18" t="str">
        <f>Source!G524</f>
        <v>Техническое обслуживание силового распределительного пункта с установочными автоматами, число групп 12 / ВРЩ</v>
      </c>
      <c r="D610" s="19" t="str">
        <f>Source!H524</f>
        <v>шт.</v>
      </c>
      <c r="E610" s="9">
        <f>Source!I524</f>
        <v>7</v>
      </c>
      <c r="F610" s="21"/>
      <c r="G610" s="20"/>
      <c r="H610" s="9"/>
      <c r="I610" s="9"/>
      <c r="J610" s="21"/>
      <c r="K610" s="21"/>
      <c r="Q610">
        <f>ROUND((Source!BZ524/100)*ROUND((Source!AF524*Source!AV524)*Source!I524, 2), 2)</f>
        <v>72616.820000000007</v>
      </c>
      <c r="R610">
        <f>Source!X524</f>
        <v>72616.820000000007</v>
      </c>
      <c r="S610">
        <f>ROUND((Source!CA524/100)*ROUND((Source!AF524*Source!AV524)*Source!I524, 2), 2)</f>
        <v>10373.83</v>
      </c>
      <c r="T610">
        <f>Source!Y524</f>
        <v>10373.83</v>
      </c>
      <c r="U610">
        <f>ROUND((175/100)*ROUND((Source!AE524*Source!AV524)*Source!I524, 2), 2)</f>
        <v>0</v>
      </c>
      <c r="V610">
        <f>ROUND((108/100)*ROUND(Source!CS524*Source!I524, 2), 2)</f>
        <v>0</v>
      </c>
    </row>
    <row r="611" spans="1:22" ht="14.25" x14ac:dyDescent="0.2">
      <c r="A611" s="18"/>
      <c r="B611" s="18"/>
      <c r="C611" s="18" t="s">
        <v>731</v>
      </c>
      <c r="D611" s="19"/>
      <c r="E611" s="9"/>
      <c r="F611" s="21">
        <f>Source!AO524</f>
        <v>14819.76</v>
      </c>
      <c r="G611" s="20" t="str">
        <f>Source!DG524</f>
        <v/>
      </c>
      <c r="H611" s="9">
        <f>Source!AV524</f>
        <v>1</v>
      </c>
      <c r="I611" s="9">
        <f>IF(Source!BA524&lt;&gt; 0, Source!BA524, 1)</f>
        <v>1</v>
      </c>
      <c r="J611" s="21">
        <f>Source!S524</f>
        <v>103738.32</v>
      </c>
      <c r="K611" s="21"/>
    </row>
    <row r="612" spans="1:22" ht="14.25" x14ac:dyDescent="0.2">
      <c r="A612" s="18"/>
      <c r="B612" s="18"/>
      <c r="C612" s="18" t="s">
        <v>732</v>
      </c>
      <c r="D612" s="19"/>
      <c r="E612" s="9"/>
      <c r="F612" s="21">
        <f>Source!AL524</f>
        <v>205.53</v>
      </c>
      <c r="G612" s="20" t="str">
        <f>Source!DD524</f>
        <v/>
      </c>
      <c r="H612" s="9">
        <f>Source!AW524</f>
        <v>1</v>
      </c>
      <c r="I612" s="9">
        <f>IF(Source!BC524&lt;&gt; 0, Source!BC524, 1)</f>
        <v>1</v>
      </c>
      <c r="J612" s="21">
        <f>Source!P524</f>
        <v>1438.71</v>
      </c>
      <c r="K612" s="21"/>
    </row>
    <row r="613" spans="1:22" ht="14.25" x14ac:dyDescent="0.2">
      <c r="A613" s="18"/>
      <c r="B613" s="18"/>
      <c r="C613" s="18" t="s">
        <v>733</v>
      </c>
      <c r="D613" s="19" t="s">
        <v>734</v>
      </c>
      <c r="E613" s="9">
        <f>Source!AT524</f>
        <v>70</v>
      </c>
      <c r="F613" s="21"/>
      <c r="G613" s="20"/>
      <c r="H613" s="9"/>
      <c r="I613" s="9"/>
      <c r="J613" s="21">
        <f>SUM(R610:R612)</f>
        <v>72616.820000000007</v>
      </c>
      <c r="K613" s="21"/>
    </row>
    <row r="614" spans="1:22" ht="14.25" x14ac:dyDescent="0.2">
      <c r="A614" s="18"/>
      <c r="B614" s="18"/>
      <c r="C614" s="18" t="s">
        <v>735</v>
      </c>
      <c r="D614" s="19" t="s">
        <v>734</v>
      </c>
      <c r="E614" s="9">
        <f>Source!AU524</f>
        <v>10</v>
      </c>
      <c r="F614" s="21"/>
      <c r="G614" s="20"/>
      <c r="H614" s="9"/>
      <c r="I614" s="9"/>
      <c r="J614" s="21">
        <f>SUM(T610:T613)</f>
        <v>10373.83</v>
      </c>
      <c r="K614" s="21"/>
    </row>
    <row r="615" spans="1:22" ht="14.25" x14ac:dyDescent="0.2">
      <c r="A615" s="18"/>
      <c r="B615" s="18"/>
      <c r="C615" s="18" t="s">
        <v>736</v>
      </c>
      <c r="D615" s="19" t="s">
        <v>737</v>
      </c>
      <c r="E615" s="9">
        <f>Source!AQ524</f>
        <v>24</v>
      </c>
      <c r="F615" s="21"/>
      <c r="G615" s="20" t="str">
        <f>Source!DI524</f>
        <v/>
      </c>
      <c r="H615" s="9">
        <f>Source!AV524</f>
        <v>1</v>
      </c>
      <c r="I615" s="9"/>
      <c r="J615" s="21"/>
      <c r="K615" s="21">
        <f>Source!U524</f>
        <v>168</v>
      </c>
    </row>
    <row r="616" spans="1:22" ht="15" x14ac:dyDescent="0.25">
      <c r="A616" s="23"/>
      <c r="B616" s="23"/>
      <c r="C616" s="23"/>
      <c r="D616" s="23"/>
      <c r="E616" s="23"/>
      <c r="F616" s="23"/>
      <c r="G616" s="23"/>
      <c r="H616" s="23"/>
      <c r="I616" s="51">
        <f>J611+J612+J613+J614</f>
        <v>188167.68000000002</v>
      </c>
      <c r="J616" s="51"/>
      <c r="K616" s="24">
        <f>IF(Source!I524&lt;&gt;0, ROUND(I616/Source!I524, 2), 0)</f>
        <v>26881.1</v>
      </c>
      <c r="P616" s="22">
        <f>I616</f>
        <v>188167.68000000002</v>
      </c>
    </row>
    <row r="617" spans="1:22" ht="57" x14ac:dyDescent="0.2">
      <c r="A617" s="18">
        <v>69</v>
      </c>
      <c r="B617" s="18" t="str">
        <f>Source!F526</f>
        <v>1.21-2203-2-3/1</v>
      </c>
      <c r="C617" s="18" t="str">
        <f>Source!G526</f>
        <v>Техническое обслуживание силового распределительного пункта с установочными автоматами, число групп 8 / ЩСА, ЩАО, ЩОК</v>
      </c>
      <c r="D617" s="19" t="str">
        <f>Source!H526</f>
        <v>шт.</v>
      </c>
      <c r="E617" s="9">
        <f>Source!I526</f>
        <v>20</v>
      </c>
      <c r="F617" s="21"/>
      <c r="G617" s="20"/>
      <c r="H617" s="9"/>
      <c r="I617" s="9"/>
      <c r="J617" s="21"/>
      <c r="K617" s="21"/>
      <c r="Q617">
        <f>ROUND((Source!BZ526/100)*ROUND((Source!AF526*Source!AV526)*Source!I526, 2), 2)</f>
        <v>129672.9</v>
      </c>
      <c r="R617">
        <f>Source!X526</f>
        <v>129672.9</v>
      </c>
      <c r="S617">
        <f>ROUND((Source!CA526/100)*ROUND((Source!AF526*Source!AV526)*Source!I526, 2), 2)</f>
        <v>18524.7</v>
      </c>
      <c r="T617">
        <f>Source!Y526</f>
        <v>18524.7</v>
      </c>
      <c r="U617">
        <f>ROUND((175/100)*ROUND((Source!AE526*Source!AV526)*Source!I526, 2), 2)</f>
        <v>0</v>
      </c>
      <c r="V617">
        <f>ROUND((108/100)*ROUND(Source!CS526*Source!I526, 2), 2)</f>
        <v>0</v>
      </c>
    </row>
    <row r="618" spans="1:22" x14ac:dyDescent="0.2">
      <c r="C618" s="25" t="str">
        <f>"Объем: "&amp;Source!I526&amp;"=7+"&amp;"7+"&amp;"6"</f>
        <v>Объем: 20=7+7+6</v>
      </c>
    </row>
    <row r="619" spans="1:22" ht="14.25" x14ac:dyDescent="0.2">
      <c r="A619" s="18"/>
      <c r="B619" s="18"/>
      <c r="C619" s="18" t="s">
        <v>731</v>
      </c>
      <c r="D619" s="19"/>
      <c r="E619" s="9"/>
      <c r="F619" s="21">
        <f>Source!AO526</f>
        <v>9262.35</v>
      </c>
      <c r="G619" s="20" t="str">
        <f>Source!DG526</f>
        <v/>
      </c>
      <c r="H619" s="9">
        <f>Source!AV526</f>
        <v>1</v>
      </c>
      <c r="I619" s="9">
        <f>IF(Source!BA526&lt;&gt; 0, Source!BA526, 1)</f>
        <v>1</v>
      </c>
      <c r="J619" s="21">
        <f>Source!S526</f>
        <v>185247</v>
      </c>
      <c r="K619" s="21"/>
    </row>
    <row r="620" spans="1:22" ht="14.25" x14ac:dyDescent="0.2">
      <c r="A620" s="18"/>
      <c r="B620" s="18"/>
      <c r="C620" s="18" t="s">
        <v>732</v>
      </c>
      <c r="D620" s="19"/>
      <c r="E620" s="9"/>
      <c r="F620" s="21">
        <f>Source!AL526</f>
        <v>128.44999999999999</v>
      </c>
      <c r="G620" s="20" t="str">
        <f>Source!DD526</f>
        <v/>
      </c>
      <c r="H620" s="9">
        <f>Source!AW526</f>
        <v>1</v>
      </c>
      <c r="I620" s="9">
        <f>IF(Source!BC526&lt;&gt; 0, Source!BC526, 1)</f>
        <v>1</v>
      </c>
      <c r="J620" s="21">
        <f>Source!P526</f>
        <v>2569</v>
      </c>
      <c r="K620" s="21"/>
    </row>
    <row r="621" spans="1:22" ht="14.25" x14ac:dyDescent="0.2">
      <c r="A621" s="18"/>
      <c r="B621" s="18"/>
      <c r="C621" s="18" t="s">
        <v>733</v>
      </c>
      <c r="D621" s="19" t="s">
        <v>734</v>
      </c>
      <c r="E621" s="9">
        <f>Source!AT526</f>
        <v>70</v>
      </c>
      <c r="F621" s="21"/>
      <c r="G621" s="20"/>
      <c r="H621" s="9"/>
      <c r="I621" s="9"/>
      <c r="J621" s="21">
        <f>SUM(R617:R620)</f>
        <v>129672.9</v>
      </c>
      <c r="K621" s="21"/>
    </row>
    <row r="622" spans="1:22" ht="14.25" x14ac:dyDescent="0.2">
      <c r="A622" s="18"/>
      <c r="B622" s="18"/>
      <c r="C622" s="18" t="s">
        <v>735</v>
      </c>
      <c r="D622" s="19" t="s">
        <v>734</v>
      </c>
      <c r="E622" s="9">
        <f>Source!AU526</f>
        <v>10</v>
      </c>
      <c r="F622" s="21"/>
      <c r="G622" s="20"/>
      <c r="H622" s="9"/>
      <c r="I622" s="9"/>
      <c r="J622" s="21">
        <f>SUM(T617:T621)</f>
        <v>18524.7</v>
      </c>
      <c r="K622" s="21"/>
    </row>
    <row r="623" spans="1:22" ht="14.25" x14ac:dyDescent="0.2">
      <c r="A623" s="18"/>
      <c r="B623" s="18"/>
      <c r="C623" s="18" t="s">
        <v>736</v>
      </c>
      <c r="D623" s="19" t="s">
        <v>737</v>
      </c>
      <c r="E623" s="9">
        <f>Source!AQ526</f>
        <v>15</v>
      </c>
      <c r="F623" s="21"/>
      <c r="G623" s="20" t="str">
        <f>Source!DI526</f>
        <v/>
      </c>
      <c r="H623" s="9">
        <f>Source!AV526</f>
        <v>1</v>
      </c>
      <c r="I623" s="9"/>
      <c r="J623" s="21"/>
      <c r="K623" s="21">
        <f>Source!U526</f>
        <v>300</v>
      </c>
    </row>
    <row r="624" spans="1:22" ht="15" x14ac:dyDescent="0.25">
      <c r="A624" s="23"/>
      <c r="B624" s="23"/>
      <c r="C624" s="23"/>
      <c r="D624" s="23"/>
      <c r="E624" s="23"/>
      <c r="F624" s="23"/>
      <c r="G624" s="23"/>
      <c r="H624" s="23"/>
      <c r="I624" s="51">
        <f>J619+J620+J621+J622</f>
        <v>336013.60000000003</v>
      </c>
      <c r="J624" s="51"/>
      <c r="K624" s="24">
        <f>IF(Source!I526&lt;&gt;0, ROUND(I624/Source!I526, 2), 0)</f>
        <v>16800.68</v>
      </c>
      <c r="P624" s="22">
        <f>I624</f>
        <v>336013.60000000003</v>
      </c>
    </row>
    <row r="625" spans="1:22" ht="57" x14ac:dyDescent="0.2">
      <c r="A625" s="18">
        <v>70</v>
      </c>
      <c r="B625" s="18" t="str">
        <f>Source!F528</f>
        <v>1.21-2203-2-1/1</v>
      </c>
      <c r="C625" s="18" t="str">
        <f>Source!G528</f>
        <v>Техническое обслуживание силового распределительного пункта с установочными автоматами, число групп 4 / ЩАП</v>
      </c>
      <c r="D625" s="19" t="str">
        <f>Source!H528</f>
        <v>шт.</v>
      </c>
      <c r="E625" s="9">
        <f>Source!I528</f>
        <v>6</v>
      </c>
      <c r="F625" s="21"/>
      <c r="G625" s="20"/>
      <c r="H625" s="9"/>
      <c r="I625" s="9"/>
      <c r="J625" s="21"/>
      <c r="K625" s="21"/>
      <c r="Q625">
        <f>ROUND((Source!BZ528/100)*ROUND((Source!AF528*Source!AV528)*Source!I528, 2), 2)</f>
        <v>23341.119999999999</v>
      </c>
      <c r="R625">
        <f>Source!X528</f>
        <v>23341.119999999999</v>
      </c>
      <c r="S625">
        <f>ROUND((Source!CA528/100)*ROUND((Source!AF528*Source!AV528)*Source!I528, 2), 2)</f>
        <v>3334.45</v>
      </c>
      <c r="T625">
        <f>Source!Y528</f>
        <v>3334.45</v>
      </c>
      <c r="U625">
        <f>ROUND((175/100)*ROUND((Source!AE528*Source!AV528)*Source!I528, 2), 2)</f>
        <v>0</v>
      </c>
      <c r="V625">
        <f>ROUND((108/100)*ROUND(Source!CS528*Source!I528, 2), 2)</f>
        <v>0</v>
      </c>
    </row>
    <row r="626" spans="1:22" ht="14.25" x14ac:dyDescent="0.2">
      <c r="A626" s="18"/>
      <c r="B626" s="18"/>
      <c r="C626" s="18" t="s">
        <v>731</v>
      </c>
      <c r="D626" s="19"/>
      <c r="E626" s="9"/>
      <c r="F626" s="21">
        <f>Source!AO528</f>
        <v>5557.41</v>
      </c>
      <c r="G626" s="20" t="str">
        <f>Source!DG528</f>
        <v/>
      </c>
      <c r="H626" s="9">
        <f>Source!AV528</f>
        <v>1</v>
      </c>
      <c r="I626" s="9">
        <f>IF(Source!BA528&lt;&gt; 0, Source!BA528, 1)</f>
        <v>1</v>
      </c>
      <c r="J626" s="21">
        <f>Source!S528</f>
        <v>33344.46</v>
      </c>
      <c r="K626" s="21"/>
    </row>
    <row r="627" spans="1:22" ht="14.25" x14ac:dyDescent="0.2">
      <c r="A627" s="18"/>
      <c r="B627" s="18"/>
      <c r="C627" s="18" t="s">
        <v>732</v>
      </c>
      <c r="D627" s="19"/>
      <c r="E627" s="9"/>
      <c r="F627" s="21">
        <f>Source!AL528</f>
        <v>77.08</v>
      </c>
      <c r="G627" s="20" t="str">
        <f>Source!DD528</f>
        <v/>
      </c>
      <c r="H627" s="9">
        <f>Source!AW528</f>
        <v>1</v>
      </c>
      <c r="I627" s="9">
        <f>IF(Source!BC528&lt;&gt; 0, Source!BC528, 1)</f>
        <v>1</v>
      </c>
      <c r="J627" s="21">
        <f>Source!P528</f>
        <v>462.48</v>
      </c>
      <c r="K627" s="21"/>
    </row>
    <row r="628" spans="1:22" ht="14.25" x14ac:dyDescent="0.2">
      <c r="A628" s="18"/>
      <c r="B628" s="18"/>
      <c r="C628" s="18" t="s">
        <v>733</v>
      </c>
      <c r="D628" s="19" t="s">
        <v>734</v>
      </c>
      <c r="E628" s="9">
        <f>Source!AT528</f>
        <v>70</v>
      </c>
      <c r="F628" s="21"/>
      <c r="G628" s="20"/>
      <c r="H628" s="9"/>
      <c r="I628" s="9"/>
      <c r="J628" s="21">
        <f>SUM(R625:R627)</f>
        <v>23341.119999999999</v>
      </c>
      <c r="K628" s="21"/>
    </row>
    <row r="629" spans="1:22" ht="14.25" x14ac:dyDescent="0.2">
      <c r="A629" s="18"/>
      <c r="B629" s="18"/>
      <c r="C629" s="18" t="s">
        <v>735</v>
      </c>
      <c r="D629" s="19" t="s">
        <v>734</v>
      </c>
      <c r="E629" s="9">
        <f>Source!AU528</f>
        <v>10</v>
      </c>
      <c r="F629" s="21"/>
      <c r="G629" s="20"/>
      <c r="H629" s="9"/>
      <c r="I629" s="9"/>
      <c r="J629" s="21">
        <f>SUM(T625:T628)</f>
        <v>3334.45</v>
      </c>
      <c r="K629" s="21"/>
    </row>
    <row r="630" spans="1:22" ht="14.25" x14ac:dyDescent="0.2">
      <c r="A630" s="18"/>
      <c r="B630" s="18"/>
      <c r="C630" s="18" t="s">
        <v>736</v>
      </c>
      <c r="D630" s="19" t="s">
        <v>737</v>
      </c>
      <c r="E630" s="9">
        <f>Source!AQ528</f>
        <v>9</v>
      </c>
      <c r="F630" s="21"/>
      <c r="G630" s="20" t="str">
        <f>Source!DI528</f>
        <v/>
      </c>
      <c r="H630" s="9">
        <f>Source!AV528</f>
        <v>1</v>
      </c>
      <c r="I630" s="9"/>
      <c r="J630" s="21"/>
      <c r="K630" s="21">
        <f>Source!U528</f>
        <v>54</v>
      </c>
    </row>
    <row r="631" spans="1:22" ht="15" x14ac:dyDescent="0.25">
      <c r="A631" s="23"/>
      <c r="B631" s="23"/>
      <c r="C631" s="23"/>
      <c r="D631" s="23"/>
      <c r="E631" s="23"/>
      <c r="F631" s="23"/>
      <c r="G631" s="23"/>
      <c r="H631" s="23"/>
      <c r="I631" s="51">
        <f>J626+J627+J628+J629</f>
        <v>60482.509999999995</v>
      </c>
      <c r="J631" s="51"/>
      <c r="K631" s="24">
        <f>IF(Source!I528&lt;&gt;0, ROUND(I631/Source!I528, 2), 0)</f>
        <v>10080.42</v>
      </c>
      <c r="P631" s="22">
        <f>I631</f>
        <v>60482.509999999995</v>
      </c>
    </row>
    <row r="632" spans="1:22" ht="85.5" x14ac:dyDescent="0.2">
      <c r="A632" s="18">
        <v>71</v>
      </c>
      <c r="B632" s="18" t="str">
        <f>Source!F530</f>
        <v>1.21-2203-37-1/1</v>
      </c>
      <c r="C632" s="18" t="str">
        <f>Source!G530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632" s="19" t="str">
        <f>Source!H530</f>
        <v>шт.</v>
      </c>
      <c r="E632" s="9">
        <f>Source!I530</f>
        <v>1</v>
      </c>
      <c r="F632" s="21"/>
      <c r="G632" s="20"/>
      <c r="H632" s="9"/>
      <c r="I632" s="9"/>
      <c r="J632" s="21"/>
      <c r="K632" s="21"/>
      <c r="Q632">
        <f>ROUND((Source!BZ530/100)*ROUND((Source!AF530*Source!AV530)*Source!I530, 2), 2)</f>
        <v>236.12</v>
      </c>
      <c r="R632">
        <f>Source!X530</f>
        <v>236.12</v>
      </c>
      <c r="S632">
        <f>ROUND((Source!CA530/100)*ROUND((Source!AF530*Source!AV530)*Source!I530, 2), 2)</f>
        <v>33.729999999999997</v>
      </c>
      <c r="T632">
        <f>Source!Y530</f>
        <v>33.729999999999997</v>
      </c>
      <c r="U632">
        <f>ROUND((175/100)*ROUND((Source!AE530*Source!AV530)*Source!I530, 2), 2)</f>
        <v>0</v>
      </c>
      <c r="V632">
        <f>ROUND((108/100)*ROUND(Source!CS530*Source!I530, 2), 2)</f>
        <v>0</v>
      </c>
    </row>
    <row r="633" spans="1:22" ht="14.25" x14ac:dyDescent="0.2">
      <c r="A633" s="18"/>
      <c r="B633" s="18"/>
      <c r="C633" s="18" t="s">
        <v>731</v>
      </c>
      <c r="D633" s="19"/>
      <c r="E633" s="9"/>
      <c r="F633" s="21">
        <f>Source!AO530</f>
        <v>337.31</v>
      </c>
      <c r="G633" s="20" t="str">
        <f>Source!DG530</f>
        <v/>
      </c>
      <c r="H633" s="9">
        <f>Source!AV530</f>
        <v>1</v>
      </c>
      <c r="I633" s="9">
        <f>IF(Source!BA530&lt;&gt; 0, Source!BA530, 1)</f>
        <v>1</v>
      </c>
      <c r="J633" s="21">
        <f>Source!S530</f>
        <v>337.31</v>
      </c>
      <c r="K633" s="21"/>
    </row>
    <row r="634" spans="1:22" ht="14.25" x14ac:dyDescent="0.2">
      <c r="A634" s="18"/>
      <c r="B634" s="18"/>
      <c r="C634" s="18" t="s">
        <v>732</v>
      </c>
      <c r="D634" s="19"/>
      <c r="E634" s="9"/>
      <c r="F634" s="21">
        <f>Source!AL530</f>
        <v>1.57</v>
      </c>
      <c r="G634" s="20" t="str">
        <f>Source!DD530</f>
        <v/>
      </c>
      <c r="H634" s="9">
        <f>Source!AW530</f>
        <v>1</v>
      </c>
      <c r="I634" s="9">
        <f>IF(Source!BC530&lt;&gt; 0, Source!BC530, 1)</f>
        <v>1</v>
      </c>
      <c r="J634" s="21">
        <f>Source!P530</f>
        <v>1.57</v>
      </c>
      <c r="K634" s="21"/>
    </row>
    <row r="635" spans="1:22" ht="14.25" x14ac:dyDescent="0.2">
      <c r="A635" s="18"/>
      <c r="B635" s="18"/>
      <c r="C635" s="18" t="s">
        <v>733</v>
      </c>
      <c r="D635" s="19" t="s">
        <v>734</v>
      </c>
      <c r="E635" s="9">
        <f>Source!AT530</f>
        <v>70</v>
      </c>
      <c r="F635" s="21"/>
      <c r="G635" s="20"/>
      <c r="H635" s="9"/>
      <c r="I635" s="9"/>
      <c r="J635" s="21">
        <f>SUM(R632:R634)</f>
        <v>236.12</v>
      </c>
      <c r="K635" s="21"/>
    </row>
    <row r="636" spans="1:22" ht="14.25" x14ac:dyDescent="0.2">
      <c r="A636" s="18"/>
      <c r="B636" s="18"/>
      <c r="C636" s="18" t="s">
        <v>735</v>
      </c>
      <c r="D636" s="19" t="s">
        <v>734</v>
      </c>
      <c r="E636" s="9">
        <f>Source!AU530</f>
        <v>10</v>
      </c>
      <c r="F636" s="21"/>
      <c r="G636" s="20"/>
      <c r="H636" s="9"/>
      <c r="I636" s="9"/>
      <c r="J636" s="21">
        <f>SUM(T632:T635)</f>
        <v>33.729999999999997</v>
      </c>
      <c r="K636" s="21"/>
    </row>
    <row r="637" spans="1:22" ht="14.25" x14ac:dyDescent="0.2">
      <c r="A637" s="18"/>
      <c r="B637" s="18"/>
      <c r="C637" s="18" t="s">
        <v>736</v>
      </c>
      <c r="D637" s="19" t="s">
        <v>737</v>
      </c>
      <c r="E637" s="9">
        <f>Source!AQ530</f>
        <v>0.6</v>
      </c>
      <c r="F637" s="21"/>
      <c r="G637" s="20" t="str">
        <f>Source!DI530</f>
        <v/>
      </c>
      <c r="H637" s="9">
        <f>Source!AV530</f>
        <v>1</v>
      </c>
      <c r="I637" s="9"/>
      <c r="J637" s="21"/>
      <c r="K637" s="21">
        <f>Source!U530</f>
        <v>0.6</v>
      </c>
    </row>
    <row r="638" spans="1:22" ht="15" x14ac:dyDescent="0.25">
      <c r="A638" s="23"/>
      <c r="B638" s="23"/>
      <c r="C638" s="23"/>
      <c r="D638" s="23"/>
      <c r="E638" s="23"/>
      <c r="F638" s="23"/>
      <c r="G638" s="23"/>
      <c r="H638" s="23"/>
      <c r="I638" s="51">
        <f>J633+J634+J635+J636</f>
        <v>608.73</v>
      </c>
      <c r="J638" s="51"/>
      <c r="K638" s="24">
        <f>IF(Source!I530&lt;&gt;0, ROUND(I638/Source!I530, 2), 0)</f>
        <v>608.73</v>
      </c>
      <c r="P638" s="22">
        <f>I638</f>
        <v>608.73</v>
      </c>
    </row>
    <row r="640" spans="1:22" ht="15" customHeight="1" x14ac:dyDescent="0.25">
      <c r="A640" s="54" t="str">
        <f>CONCATENATE("Итого по подразделу: ",IF(Source!G534&lt;&gt;"Новый подраздел", Source!G534, ""))</f>
        <v>Итого по подразделу: 4.6  Щитовое оборудование</v>
      </c>
      <c r="B640" s="54"/>
      <c r="C640" s="54"/>
      <c r="D640" s="54"/>
      <c r="E640" s="54"/>
      <c r="F640" s="54"/>
      <c r="G640" s="54"/>
      <c r="H640" s="54"/>
      <c r="I640" s="53">
        <f>SUM(P609:P639)</f>
        <v>585272.52</v>
      </c>
      <c r="J640" s="53"/>
      <c r="K640" s="26"/>
    </row>
    <row r="643" spans="1:22" ht="15" customHeight="1" x14ac:dyDescent="0.25">
      <c r="A643" s="54" t="str">
        <f>CONCATENATE("Итого по разделу: ",IF(Source!G564&lt;&gt;"Новый раздел", Source!G564, ""))</f>
        <v>Итого по разделу: Раздел: 4. Электроосвещение и электрооборудование</v>
      </c>
      <c r="B643" s="54"/>
      <c r="C643" s="54"/>
      <c r="D643" s="54"/>
      <c r="E643" s="54"/>
      <c r="F643" s="54"/>
      <c r="G643" s="54"/>
      <c r="H643" s="54"/>
      <c r="I643" s="53">
        <f>SUM(P392:P642)</f>
        <v>927816.52</v>
      </c>
      <c r="J643" s="53"/>
      <c r="K643" s="26"/>
    </row>
    <row r="646" spans="1:22" ht="16.5" customHeight="1" x14ac:dyDescent="0.25">
      <c r="A646" s="50" t="str">
        <f>CONCATENATE("Раздел: ",IF(Source!G594&lt;&gt;"Новый раздел", Source!G594, ""))</f>
        <v>Раздел: Раздел: 5. Автоматизация комплексная</v>
      </c>
      <c r="B646" s="50"/>
      <c r="C646" s="50"/>
      <c r="D646" s="50"/>
      <c r="E646" s="50"/>
      <c r="F646" s="50"/>
      <c r="G646" s="50"/>
      <c r="H646" s="50"/>
      <c r="I646" s="50"/>
      <c r="J646" s="50"/>
      <c r="K646" s="50"/>
    </row>
    <row r="648" spans="1:22" ht="16.5" customHeight="1" x14ac:dyDescent="0.25">
      <c r="A648" s="50" t="str">
        <f>CONCATENATE("Подраздел: ",IF(Source!G598&lt;&gt;"Новый подраздел", Source!G598, ""))</f>
        <v>Подраздел: 5.1  Автоматизация системы отопления</v>
      </c>
      <c r="B648" s="50"/>
      <c r="C648" s="50"/>
      <c r="D648" s="50"/>
      <c r="E648" s="50"/>
      <c r="F648" s="50"/>
      <c r="G648" s="50"/>
      <c r="H648" s="50"/>
      <c r="I648" s="50"/>
      <c r="J648" s="50"/>
      <c r="K648" s="50"/>
    </row>
    <row r="649" spans="1:22" ht="114" x14ac:dyDescent="0.2">
      <c r="A649" s="18">
        <v>72</v>
      </c>
      <c r="B649" s="18" t="str">
        <f>Source!F602</f>
        <v>1.23-2303-5-1/1</v>
      </c>
      <c r="C649" s="18" t="str">
        <f>Source!G602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D649" s="19" t="str">
        <f>Source!H602</f>
        <v>шт.</v>
      </c>
      <c r="E649" s="9">
        <f>Source!I602</f>
        <v>1</v>
      </c>
      <c r="F649" s="21"/>
      <c r="G649" s="20"/>
      <c r="H649" s="9"/>
      <c r="I649" s="9"/>
      <c r="J649" s="21"/>
      <c r="K649" s="21"/>
      <c r="Q649">
        <f>ROUND((Source!BZ602/100)*ROUND((Source!AF602*Source!AV602)*Source!I602, 2), 2)</f>
        <v>1142.04</v>
      </c>
      <c r="R649">
        <f>Source!X602</f>
        <v>1142.04</v>
      </c>
      <c r="S649">
        <f>ROUND((Source!CA602/100)*ROUND((Source!AF602*Source!AV602)*Source!I602, 2), 2)</f>
        <v>163.15</v>
      </c>
      <c r="T649">
        <f>Source!Y602</f>
        <v>163.15</v>
      </c>
      <c r="U649">
        <f>ROUND((175/100)*ROUND((Source!AE602*Source!AV602)*Source!I602, 2), 2)</f>
        <v>0</v>
      </c>
      <c r="V649">
        <f>ROUND((108/100)*ROUND(Source!CS602*Source!I602, 2), 2)</f>
        <v>0</v>
      </c>
    </row>
    <row r="650" spans="1:22" ht="14.25" x14ac:dyDescent="0.2">
      <c r="A650" s="18"/>
      <c r="B650" s="18"/>
      <c r="C650" s="18" t="s">
        <v>731</v>
      </c>
      <c r="D650" s="19"/>
      <c r="E650" s="9"/>
      <c r="F650" s="21">
        <f>Source!AO602</f>
        <v>815.74</v>
      </c>
      <c r="G650" s="20" t="str">
        <f>Source!DG602</f>
        <v>)*2</v>
      </c>
      <c r="H650" s="9">
        <f>Source!AV602</f>
        <v>1</v>
      </c>
      <c r="I650" s="9">
        <f>IF(Source!BA602&lt;&gt; 0, Source!BA602, 1)</f>
        <v>1</v>
      </c>
      <c r="J650" s="21">
        <f>Source!S602</f>
        <v>1631.48</v>
      </c>
      <c r="K650" s="21"/>
    </row>
    <row r="651" spans="1:22" ht="14.25" x14ac:dyDescent="0.2">
      <c r="A651" s="18"/>
      <c r="B651" s="18"/>
      <c r="C651" s="18" t="s">
        <v>733</v>
      </c>
      <c r="D651" s="19" t="s">
        <v>734</v>
      </c>
      <c r="E651" s="9">
        <f>Source!AT602</f>
        <v>70</v>
      </c>
      <c r="F651" s="21"/>
      <c r="G651" s="20"/>
      <c r="H651" s="9"/>
      <c r="I651" s="9"/>
      <c r="J651" s="21">
        <f>SUM(R649:R650)</f>
        <v>1142.04</v>
      </c>
      <c r="K651" s="21"/>
    </row>
    <row r="652" spans="1:22" ht="14.25" x14ac:dyDescent="0.2">
      <c r="A652" s="18"/>
      <c r="B652" s="18"/>
      <c r="C652" s="18" t="s">
        <v>735</v>
      </c>
      <c r="D652" s="19" t="s">
        <v>734</v>
      </c>
      <c r="E652" s="9">
        <f>Source!AU602</f>
        <v>10</v>
      </c>
      <c r="F652" s="21"/>
      <c r="G652" s="20"/>
      <c r="H652" s="9"/>
      <c r="I652" s="9"/>
      <c r="J652" s="21">
        <f>SUM(T649:T651)</f>
        <v>163.15</v>
      </c>
      <c r="K652" s="21"/>
    </row>
    <row r="653" spans="1:22" ht="14.25" x14ac:dyDescent="0.2">
      <c r="A653" s="18"/>
      <c r="B653" s="18"/>
      <c r="C653" s="18" t="s">
        <v>736</v>
      </c>
      <c r="D653" s="19" t="s">
        <v>737</v>
      </c>
      <c r="E653" s="9">
        <f>Source!AQ602</f>
        <v>1.06</v>
      </c>
      <c r="F653" s="21"/>
      <c r="G653" s="20" t="str">
        <f>Source!DI602</f>
        <v>)*2</v>
      </c>
      <c r="H653" s="9">
        <f>Source!AV602</f>
        <v>1</v>
      </c>
      <c r="I653" s="9"/>
      <c r="J653" s="21"/>
      <c r="K653" s="21">
        <f>Source!U602</f>
        <v>2.12</v>
      </c>
    </row>
    <row r="654" spans="1:22" ht="15" x14ac:dyDescent="0.25">
      <c r="A654" s="23"/>
      <c r="B654" s="23"/>
      <c r="C654" s="23"/>
      <c r="D654" s="23"/>
      <c r="E654" s="23"/>
      <c r="F654" s="23"/>
      <c r="G654" s="23"/>
      <c r="H654" s="23"/>
      <c r="I654" s="51">
        <f>J650+J651+J652</f>
        <v>2936.67</v>
      </c>
      <c r="J654" s="51"/>
      <c r="K654" s="24">
        <f>IF(Source!I602&lt;&gt;0, ROUND(I654/Source!I602, 2), 0)</f>
        <v>2936.67</v>
      </c>
      <c r="P654" s="22">
        <f>I654</f>
        <v>2936.67</v>
      </c>
    </row>
    <row r="655" spans="1:22" ht="71.25" x14ac:dyDescent="0.2">
      <c r="A655" s="18">
        <v>73</v>
      </c>
      <c r="B655" s="18" t="str">
        <f>Source!F603</f>
        <v>1.23-2103-9-7/1</v>
      </c>
      <c r="C655" s="18" t="str">
        <f>Source!G603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D655" s="19" t="str">
        <f>Source!H603</f>
        <v>шт.</v>
      </c>
      <c r="E655" s="9">
        <f>Source!I603</f>
        <v>1</v>
      </c>
      <c r="F655" s="21"/>
      <c r="G655" s="20"/>
      <c r="H655" s="9"/>
      <c r="I655" s="9"/>
      <c r="J655" s="21"/>
      <c r="K655" s="21"/>
      <c r="Q655">
        <f>ROUND((Source!BZ603/100)*ROUND((Source!AF603*Source!AV603)*Source!I603, 2), 2)</f>
        <v>691.59</v>
      </c>
      <c r="R655">
        <f>Source!X603</f>
        <v>691.59</v>
      </c>
      <c r="S655">
        <f>ROUND((Source!CA603/100)*ROUND((Source!AF603*Source!AV603)*Source!I603, 2), 2)</f>
        <v>98.8</v>
      </c>
      <c r="T655">
        <f>Source!Y603</f>
        <v>98.8</v>
      </c>
      <c r="U655">
        <f>ROUND((175/100)*ROUND((Source!AE603*Source!AV603)*Source!I603, 2), 2)</f>
        <v>0</v>
      </c>
      <c r="V655">
        <f>ROUND((108/100)*ROUND(Source!CS603*Source!I603, 2), 2)</f>
        <v>0</v>
      </c>
    </row>
    <row r="656" spans="1:22" ht="14.25" x14ac:dyDescent="0.2">
      <c r="A656" s="18"/>
      <c r="B656" s="18"/>
      <c r="C656" s="18" t="s">
        <v>731</v>
      </c>
      <c r="D656" s="19"/>
      <c r="E656" s="9"/>
      <c r="F656" s="21">
        <f>Source!AO603</f>
        <v>493.99</v>
      </c>
      <c r="G656" s="20" t="str">
        <f>Source!DG603</f>
        <v>)*2</v>
      </c>
      <c r="H656" s="9">
        <f>Source!AV603</f>
        <v>1</v>
      </c>
      <c r="I656" s="9">
        <f>IF(Source!BA603&lt;&gt; 0, Source!BA603, 1)</f>
        <v>1</v>
      </c>
      <c r="J656" s="21">
        <f>Source!S603</f>
        <v>987.98</v>
      </c>
      <c r="K656" s="21"/>
    </row>
    <row r="657" spans="1:22" ht="14.25" x14ac:dyDescent="0.2">
      <c r="A657" s="18"/>
      <c r="B657" s="18"/>
      <c r="C657" s="18" t="s">
        <v>733</v>
      </c>
      <c r="D657" s="19" t="s">
        <v>734</v>
      </c>
      <c r="E657" s="9">
        <f>Source!AT603</f>
        <v>70</v>
      </c>
      <c r="F657" s="21"/>
      <c r="G657" s="20"/>
      <c r="H657" s="9"/>
      <c r="I657" s="9"/>
      <c r="J657" s="21">
        <f>SUM(R655:R656)</f>
        <v>691.59</v>
      </c>
      <c r="K657" s="21"/>
    </row>
    <row r="658" spans="1:22" ht="14.25" x14ac:dyDescent="0.2">
      <c r="A658" s="18"/>
      <c r="B658" s="18"/>
      <c r="C658" s="18" t="s">
        <v>735</v>
      </c>
      <c r="D658" s="19" t="s">
        <v>734</v>
      </c>
      <c r="E658" s="9">
        <f>Source!AU603</f>
        <v>10</v>
      </c>
      <c r="F658" s="21"/>
      <c r="G658" s="20"/>
      <c r="H658" s="9"/>
      <c r="I658" s="9"/>
      <c r="J658" s="21">
        <f>SUM(T655:T657)</f>
        <v>98.8</v>
      </c>
      <c r="K658" s="21"/>
    </row>
    <row r="659" spans="1:22" ht="14.25" x14ac:dyDescent="0.2">
      <c r="A659" s="18"/>
      <c r="B659" s="18"/>
      <c r="C659" s="18" t="s">
        <v>736</v>
      </c>
      <c r="D659" s="19" t="s">
        <v>737</v>
      </c>
      <c r="E659" s="9">
        <f>Source!AQ603</f>
        <v>0.8</v>
      </c>
      <c r="F659" s="21"/>
      <c r="G659" s="20" t="str">
        <f>Source!DI603</f>
        <v>)*2</v>
      </c>
      <c r="H659" s="9">
        <f>Source!AV603</f>
        <v>1</v>
      </c>
      <c r="I659" s="9"/>
      <c r="J659" s="21"/>
      <c r="K659" s="21">
        <f>Source!U603</f>
        <v>1.6</v>
      </c>
    </row>
    <row r="660" spans="1:22" ht="15" x14ac:dyDescent="0.25">
      <c r="A660" s="23"/>
      <c r="B660" s="23"/>
      <c r="C660" s="23"/>
      <c r="D660" s="23"/>
      <c r="E660" s="23"/>
      <c r="F660" s="23"/>
      <c r="G660" s="23"/>
      <c r="H660" s="23"/>
      <c r="I660" s="51">
        <f>J656+J657+J658</f>
        <v>1778.3700000000001</v>
      </c>
      <c r="J660" s="51"/>
      <c r="K660" s="24">
        <f>IF(Source!I603&lt;&gt;0, ROUND(I660/Source!I603, 2), 0)</f>
        <v>1778.37</v>
      </c>
      <c r="P660" s="22">
        <f>I660</f>
        <v>1778.3700000000001</v>
      </c>
    </row>
    <row r="661" spans="1:22" ht="28.5" x14ac:dyDescent="0.2">
      <c r="A661" s="18">
        <v>74</v>
      </c>
      <c r="B661" s="18" t="str">
        <f>Source!F604</f>
        <v>1.23-2303-11-1/1</v>
      </c>
      <c r="C661" s="18" t="str">
        <f>Source!G604</f>
        <v>Техническое обслуживание модулей аналоговых входных сигналов</v>
      </c>
      <c r="D661" s="19" t="str">
        <f>Source!H604</f>
        <v>шт.</v>
      </c>
      <c r="E661" s="9">
        <f>Source!I604</f>
        <v>1</v>
      </c>
      <c r="F661" s="21"/>
      <c r="G661" s="20"/>
      <c r="H661" s="9"/>
      <c r="I661" s="9"/>
      <c r="J661" s="21"/>
      <c r="K661" s="21"/>
      <c r="Q661">
        <f>ROUND((Source!BZ604/100)*ROUND((Source!AF604*Source!AV604)*Source!I604, 2), 2)</f>
        <v>3000.44</v>
      </c>
      <c r="R661">
        <f>Source!X604</f>
        <v>3000.44</v>
      </c>
      <c r="S661">
        <f>ROUND((Source!CA604/100)*ROUND((Source!AF604*Source!AV604)*Source!I604, 2), 2)</f>
        <v>428.63</v>
      </c>
      <c r="T661">
        <f>Source!Y604</f>
        <v>428.63</v>
      </c>
      <c r="U661">
        <f>ROUND((175/100)*ROUND((Source!AE604*Source!AV604)*Source!I604, 2), 2)</f>
        <v>0</v>
      </c>
      <c r="V661">
        <f>ROUND((108/100)*ROUND(Source!CS604*Source!I604, 2), 2)</f>
        <v>0</v>
      </c>
    </row>
    <row r="662" spans="1:22" ht="14.25" x14ac:dyDescent="0.2">
      <c r="A662" s="18"/>
      <c r="B662" s="18"/>
      <c r="C662" s="18" t="s">
        <v>731</v>
      </c>
      <c r="D662" s="19"/>
      <c r="E662" s="9"/>
      <c r="F662" s="21">
        <f>Source!AO604</f>
        <v>2143.17</v>
      </c>
      <c r="G662" s="20" t="str">
        <f>Source!DG604</f>
        <v>)*2</v>
      </c>
      <c r="H662" s="9">
        <f>Source!AV604</f>
        <v>1</v>
      </c>
      <c r="I662" s="9">
        <f>IF(Source!BA604&lt;&gt; 0, Source!BA604, 1)</f>
        <v>1</v>
      </c>
      <c r="J662" s="21">
        <f>Source!S604</f>
        <v>4286.34</v>
      </c>
      <c r="K662" s="21"/>
    </row>
    <row r="663" spans="1:22" ht="14.25" x14ac:dyDescent="0.2">
      <c r="A663" s="18"/>
      <c r="B663" s="18"/>
      <c r="C663" s="18" t="s">
        <v>732</v>
      </c>
      <c r="D663" s="19"/>
      <c r="E663" s="9"/>
      <c r="F663" s="21">
        <f>Source!AL604</f>
        <v>4.97</v>
      </c>
      <c r="G663" s="20" t="str">
        <f>Source!DD604</f>
        <v>)*2</v>
      </c>
      <c r="H663" s="9">
        <f>Source!AW604</f>
        <v>1</v>
      </c>
      <c r="I663" s="9">
        <f>IF(Source!BC604&lt;&gt; 0, Source!BC604, 1)</f>
        <v>1</v>
      </c>
      <c r="J663" s="21">
        <f>Source!P604</f>
        <v>9.94</v>
      </c>
      <c r="K663" s="21"/>
    </row>
    <row r="664" spans="1:22" ht="14.25" x14ac:dyDescent="0.2">
      <c r="A664" s="18"/>
      <c r="B664" s="18"/>
      <c r="C664" s="18" t="s">
        <v>733</v>
      </c>
      <c r="D664" s="19" t="s">
        <v>734</v>
      </c>
      <c r="E664" s="9">
        <f>Source!AT604</f>
        <v>70</v>
      </c>
      <c r="F664" s="21"/>
      <c r="G664" s="20"/>
      <c r="H664" s="9"/>
      <c r="I664" s="9"/>
      <c r="J664" s="21">
        <f>SUM(R661:R663)</f>
        <v>3000.44</v>
      </c>
      <c r="K664" s="21"/>
    </row>
    <row r="665" spans="1:22" ht="14.25" x14ac:dyDescent="0.2">
      <c r="A665" s="18"/>
      <c r="B665" s="18"/>
      <c r="C665" s="18" t="s">
        <v>735</v>
      </c>
      <c r="D665" s="19" t="s">
        <v>734</v>
      </c>
      <c r="E665" s="9">
        <f>Source!AU604</f>
        <v>10</v>
      </c>
      <c r="F665" s="21"/>
      <c r="G665" s="20"/>
      <c r="H665" s="9"/>
      <c r="I665" s="9"/>
      <c r="J665" s="21">
        <f>SUM(T661:T664)</f>
        <v>428.63</v>
      </c>
      <c r="K665" s="21"/>
    </row>
    <row r="666" spans="1:22" ht="14.25" x14ac:dyDescent="0.2">
      <c r="A666" s="18"/>
      <c r="B666" s="18"/>
      <c r="C666" s="18" t="s">
        <v>736</v>
      </c>
      <c r="D666" s="19" t="s">
        <v>737</v>
      </c>
      <c r="E666" s="9">
        <f>Source!AQ604</f>
        <v>3.02</v>
      </c>
      <c r="F666" s="21"/>
      <c r="G666" s="20" t="str">
        <f>Source!DI604</f>
        <v>)*2</v>
      </c>
      <c r="H666" s="9">
        <f>Source!AV604</f>
        <v>1</v>
      </c>
      <c r="I666" s="9"/>
      <c r="J666" s="21"/>
      <c r="K666" s="21">
        <f>Source!U604</f>
        <v>6.04</v>
      </c>
    </row>
    <row r="667" spans="1:22" ht="15" x14ac:dyDescent="0.25">
      <c r="A667" s="23"/>
      <c r="B667" s="23"/>
      <c r="C667" s="23"/>
      <c r="D667" s="23"/>
      <c r="E667" s="23"/>
      <c r="F667" s="23"/>
      <c r="G667" s="23"/>
      <c r="H667" s="23"/>
      <c r="I667" s="51">
        <f>J662+J663+J664+J665</f>
        <v>7725.3499999999995</v>
      </c>
      <c r="J667" s="51"/>
      <c r="K667" s="24">
        <f>IF(Source!I604&lt;&gt;0, ROUND(I667/Source!I604, 2), 0)</f>
        <v>7725.35</v>
      </c>
      <c r="P667" s="22">
        <f>I667</f>
        <v>7725.3499999999995</v>
      </c>
    </row>
    <row r="668" spans="1:22" ht="28.5" x14ac:dyDescent="0.2">
      <c r="A668" s="18">
        <v>75</v>
      </c>
      <c r="B668" s="18" t="str">
        <f>Source!F605</f>
        <v>1.23-2303-11-3/1</v>
      </c>
      <c r="C668" s="18" t="str">
        <f>Source!G605</f>
        <v>Техническое обслуживание модулей дискретных входных сигналов</v>
      </c>
      <c r="D668" s="19" t="str">
        <f>Source!H605</f>
        <v>шт.</v>
      </c>
      <c r="E668" s="9">
        <f>Source!I605</f>
        <v>1</v>
      </c>
      <c r="F668" s="21"/>
      <c r="G668" s="20"/>
      <c r="H668" s="9"/>
      <c r="I668" s="9"/>
      <c r="J668" s="21"/>
      <c r="K668" s="21"/>
      <c r="Q668">
        <f>ROUND((Source!BZ605/100)*ROUND((Source!AF605*Source!AV605)*Source!I605, 2), 2)</f>
        <v>2861.35</v>
      </c>
      <c r="R668">
        <f>Source!X605</f>
        <v>2861.35</v>
      </c>
      <c r="S668">
        <f>ROUND((Source!CA605/100)*ROUND((Source!AF605*Source!AV605)*Source!I605, 2), 2)</f>
        <v>408.76</v>
      </c>
      <c r="T668">
        <f>Source!Y605</f>
        <v>408.76</v>
      </c>
      <c r="U668">
        <f>ROUND((175/100)*ROUND((Source!AE605*Source!AV605)*Source!I605, 2), 2)</f>
        <v>0</v>
      </c>
      <c r="V668">
        <f>ROUND((108/100)*ROUND(Source!CS605*Source!I605, 2), 2)</f>
        <v>0</v>
      </c>
    </row>
    <row r="669" spans="1:22" ht="14.25" x14ac:dyDescent="0.2">
      <c r="A669" s="18"/>
      <c r="B669" s="18"/>
      <c r="C669" s="18" t="s">
        <v>731</v>
      </c>
      <c r="D669" s="19"/>
      <c r="E669" s="9"/>
      <c r="F669" s="21">
        <f>Source!AO605</f>
        <v>2043.82</v>
      </c>
      <c r="G669" s="20" t="str">
        <f>Source!DG605</f>
        <v>)*2</v>
      </c>
      <c r="H669" s="9">
        <f>Source!AV605</f>
        <v>1</v>
      </c>
      <c r="I669" s="9">
        <f>IF(Source!BA605&lt;&gt; 0, Source!BA605, 1)</f>
        <v>1</v>
      </c>
      <c r="J669" s="21">
        <f>Source!S605</f>
        <v>4087.64</v>
      </c>
      <c r="K669" s="21"/>
    </row>
    <row r="670" spans="1:22" ht="14.25" x14ac:dyDescent="0.2">
      <c r="A670" s="18"/>
      <c r="B670" s="18"/>
      <c r="C670" s="18" t="s">
        <v>732</v>
      </c>
      <c r="D670" s="19"/>
      <c r="E670" s="9"/>
      <c r="F670" s="21">
        <f>Source!AL605</f>
        <v>4.97</v>
      </c>
      <c r="G670" s="20" t="str">
        <f>Source!DD605</f>
        <v>)*2</v>
      </c>
      <c r="H670" s="9">
        <f>Source!AW605</f>
        <v>1</v>
      </c>
      <c r="I670" s="9">
        <f>IF(Source!BC605&lt;&gt; 0, Source!BC605, 1)</f>
        <v>1</v>
      </c>
      <c r="J670" s="21">
        <f>Source!P605</f>
        <v>9.94</v>
      </c>
      <c r="K670" s="21"/>
    </row>
    <row r="671" spans="1:22" ht="14.25" x14ac:dyDescent="0.2">
      <c r="A671" s="18"/>
      <c r="B671" s="18"/>
      <c r="C671" s="18" t="s">
        <v>733</v>
      </c>
      <c r="D671" s="19" t="s">
        <v>734</v>
      </c>
      <c r="E671" s="9">
        <f>Source!AT605</f>
        <v>70</v>
      </c>
      <c r="F671" s="21"/>
      <c r="G671" s="20"/>
      <c r="H671" s="9"/>
      <c r="I671" s="9"/>
      <c r="J671" s="21">
        <f>SUM(R668:R670)</f>
        <v>2861.35</v>
      </c>
      <c r="K671" s="21"/>
    </row>
    <row r="672" spans="1:22" ht="14.25" x14ac:dyDescent="0.2">
      <c r="A672" s="18"/>
      <c r="B672" s="18"/>
      <c r="C672" s="18" t="s">
        <v>735</v>
      </c>
      <c r="D672" s="19" t="s">
        <v>734</v>
      </c>
      <c r="E672" s="9">
        <f>Source!AU605</f>
        <v>10</v>
      </c>
      <c r="F672" s="21"/>
      <c r="G672" s="20"/>
      <c r="H672" s="9"/>
      <c r="I672" s="9"/>
      <c r="J672" s="21">
        <f>SUM(T668:T671)</f>
        <v>408.76</v>
      </c>
      <c r="K672" s="21"/>
    </row>
    <row r="673" spans="1:22" ht="14.25" x14ac:dyDescent="0.2">
      <c r="A673" s="18"/>
      <c r="B673" s="18"/>
      <c r="C673" s="18" t="s">
        <v>736</v>
      </c>
      <c r="D673" s="19" t="s">
        <v>737</v>
      </c>
      <c r="E673" s="9">
        <f>Source!AQ605</f>
        <v>2.88</v>
      </c>
      <c r="F673" s="21"/>
      <c r="G673" s="20" t="str">
        <f>Source!DI605</f>
        <v>)*2</v>
      </c>
      <c r="H673" s="9">
        <f>Source!AV605</f>
        <v>1</v>
      </c>
      <c r="I673" s="9"/>
      <c r="J673" s="21"/>
      <c r="K673" s="21">
        <f>Source!U605</f>
        <v>5.76</v>
      </c>
    </row>
    <row r="674" spans="1:22" ht="15" x14ac:dyDescent="0.25">
      <c r="A674" s="23"/>
      <c r="B674" s="23"/>
      <c r="C674" s="23"/>
      <c r="D674" s="23"/>
      <c r="E674" s="23"/>
      <c r="F674" s="23"/>
      <c r="G674" s="23"/>
      <c r="H674" s="23"/>
      <c r="I674" s="51">
        <f>J669+J670+J671+J672</f>
        <v>7367.6900000000005</v>
      </c>
      <c r="J674" s="51"/>
      <c r="K674" s="24">
        <f>IF(Source!I605&lt;&gt;0, ROUND(I674/Source!I605, 2), 0)</f>
        <v>7367.69</v>
      </c>
      <c r="P674" s="22">
        <f>I674</f>
        <v>7367.6900000000005</v>
      </c>
    </row>
    <row r="675" spans="1:22" ht="28.5" x14ac:dyDescent="0.2">
      <c r="A675" s="18">
        <v>76</v>
      </c>
      <c r="B675" s="18" t="str">
        <f>Source!F606</f>
        <v>1.23-2303-11-4/1</v>
      </c>
      <c r="C675" s="18" t="str">
        <f>Source!G606</f>
        <v>Техническое обслуживание модулей дискретных выходных сигналов</v>
      </c>
      <c r="D675" s="19" t="str">
        <f>Source!H606</f>
        <v>шт.</v>
      </c>
      <c r="E675" s="9">
        <f>Source!I606</f>
        <v>1</v>
      </c>
      <c r="F675" s="21"/>
      <c r="G675" s="20"/>
      <c r="H675" s="9"/>
      <c r="I675" s="9"/>
      <c r="J675" s="21"/>
      <c r="K675" s="21"/>
      <c r="Q675">
        <f>ROUND((Source!BZ606/100)*ROUND((Source!AF606*Source!AV606)*Source!I606, 2), 2)</f>
        <v>3050.12</v>
      </c>
      <c r="R675">
        <f>Source!X606</f>
        <v>3050.12</v>
      </c>
      <c r="S675">
        <f>ROUND((Source!CA606/100)*ROUND((Source!AF606*Source!AV606)*Source!I606, 2), 2)</f>
        <v>435.73</v>
      </c>
      <c r="T675">
        <f>Source!Y606</f>
        <v>435.73</v>
      </c>
      <c r="U675">
        <f>ROUND((175/100)*ROUND((Source!AE606*Source!AV606)*Source!I606, 2), 2)</f>
        <v>0</v>
      </c>
      <c r="V675">
        <f>ROUND((108/100)*ROUND(Source!CS606*Source!I606, 2), 2)</f>
        <v>0</v>
      </c>
    </row>
    <row r="676" spans="1:22" ht="14.25" x14ac:dyDescent="0.2">
      <c r="A676" s="18"/>
      <c r="B676" s="18"/>
      <c r="C676" s="18" t="s">
        <v>731</v>
      </c>
      <c r="D676" s="19"/>
      <c r="E676" s="9"/>
      <c r="F676" s="21">
        <f>Source!AO606</f>
        <v>2178.66</v>
      </c>
      <c r="G676" s="20" t="str">
        <f>Source!DG606</f>
        <v>)*2</v>
      </c>
      <c r="H676" s="9">
        <f>Source!AV606</f>
        <v>1</v>
      </c>
      <c r="I676" s="9">
        <f>IF(Source!BA606&lt;&gt; 0, Source!BA606, 1)</f>
        <v>1</v>
      </c>
      <c r="J676" s="21">
        <f>Source!S606</f>
        <v>4357.32</v>
      </c>
      <c r="K676" s="21"/>
    </row>
    <row r="677" spans="1:22" ht="14.25" x14ac:dyDescent="0.2">
      <c r="A677" s="18"/>
      <c r="B677" s="18"/>
      <c r="C677" s="18" t="s">
        <v>732</v>
      </c>
      <c r="D677" s="19"/>
      <c r="E677" s="9"/>
      <c r="F677" s="21">
        <f>Source!AL606</f>
        <v>4.97</v>
      </c>
      <c r="G677" s="20" t="str">
        <f>Source!DD606</f>
        <v>)*2</v>
      </c>
      <c r="H677" s="9">
        <f>Source!AW606</f>
        <v>1</v>
      </c>
      <c r="I677" s="9">
        <f>IF(Source!BC606&lt;&gt; 0, Source!BC606, 1)</f>
        <v>1</v>
      </c>
      <c r="J677" s="21">
        <f>Source!P606</f>
        <v>9.94</v>
      </c>
      <c r="K677" s="21"/>
    </row>
    <row r="678" spans="1:22" ht="14.25" x14ac:dyDescent="0.2">
      <c r="A678" s="18"/>
      <c r="B678" s="18"/>
      <c r="C678" s="18" t="s">
        <v>733</v>
      </c>
      <c r="D678" s="19" t="s">
        <v>734</v>
      </c>
      <c r="E678" s="9">
        <f>Source!AT606</f>
        <v>70</v>
      </c>
      <c r="F678" s="21"/>
      <c r="G678" s="20"/>
      <c r="H678" s="9"/>
      <c r="I678" s="9"/>
      <c r="J678" s="21">
        <f>SUM(R675:R677)</f>
        <v>3050.12</v>
      </c>
      <c r="K678" s="21"/>
    </row>
    <row r="679" spans="1:22" ht="14.25" x14ac:dyDescent="0.2">
      <c r="A679" s="18"/>
      <c r="B679" s="18"/>
      <c r="C679" s="18" t="s">
        <v>735</v>
      </c>
      <c r="D679" s="19" t="s">
        <v>734</v>
      </c>
      <c r="E679" s="9">
        <f>Source!AU606</f>
        <v>10</v>
      </c>
      <c r="F679" s="21"/>
      <c r="G679" s="20"/>
      <c r="H679" s="9"/>
      <c r="I679" s="9"/>
      <c r="J679" s="21">
        <f>SUM(T675:T678)</f>
        <v>435.73</v>
      </c>
      <c r="K679" s="21"/>
    </row>
    <row r="680" spans="1:22" ht="14.25" x14ac:dyDescent="0.2">
      <c r="A680" s="18"/>
      <c r="B680" s="18"/>
      <c r="C680" s="18" t="s">
        <v>736</v>
      </c>
      <c r="D680" s="19" t="s">
        <v>737</v>
      </c>
      <c r="E680" s="9">
        <f>Source!AQ606</f>
        <v>3.07</v>
      </c>
      <c r="F680" s="21"/>
      <c r="G680" s="20" t="str">
        <f>Source!DI606</f>
        <v>)*2</v>
      </c>
      <c r="H680" s="9">
        <f>Source!AV606</f>
        <v>1</v>
      </c>
      <c r="I680" s="9"/>
      <c r="J680" s="21"/>
      <c r="K680" s="21">
        <f>Source!U606</f>
        <v>6.14</v>
      </c>
    </row>
    <row r="681" spans="1:22" ht="15" x14ac:dyDescent="0.25">
      <c r="A681" s="23"/>
      <c r="B681" s="23"/>
      <c r="C681" s="23"/>
      <c r="D681" s="23"/>
      <c r="E681" s="23"/>
      <c r="F681" s="23"/>
      <c r="G681" s="23"/>
      <c r="H681" s="23"/>
      <c r="I681" s="51">
        <f>J676+J677+J678+J679</f>
        <v>7853.1099999999988</v>
      </c>
      <c r="J681" s="51"/>
      <c r="K681" s="24">
        <f>IF(Source!I606&lt;&gt;0, ROUND(I681/Source!I606, 2), 0)</f>
        <v>7853.11</v>
      </c>
      <c r="P681" s="22">
        <f>I681</f>
        <v>7853.1099999999988</v>
      </c>
    </row>
    <row r="683" spans="1:22" ht="15" customHeight="1" x14ac:dyDescent="0.25">
      <c r="A683" s="54" t="str">
        <f>CONCATENATE("Итого по подразделу: ",IF(Source!G608&lt;&gt;"Новый подраздел", Source!G608, ""))</f>
        <v>Итого по подразделу: 5.1  Автоматизация системы отопления</v>
      </c>
      <c r="B683" s="54"/>
      <c r="C683" s="54"/>
      <c r="D683" s="54"/>
      <c r="E683" s="54"/>
      <c r="F683" s="54"/>
      <c r="G683" s="54"/>
      <c r="H683" s="54"/>
      <c r="I683" s="53">
        <f>SUM(P648:P682)</f>
        <v>27661.190000000002</v>
      </c>
      <c r="J683" s="53"/>
      <c r="K683" s="26"/>
    </row>
    <row r="686" spans="1:22" ht="16.5" customHeight="1" x14ac:dyDescent="0.25">
      <c r="A686" s="50" t="str">
        <f>CONCATENATE("Подраздел: ",IF(Source!G638&lt;&gt;"Новый подраздел", Source!G638, ""))</f>
        <v>Подраздел: 5.2  Приборы и средства автоматизации</v>
      </c>
      <c r="B686" s="50"/>
      <c r="C686" s="50"/>
      <c r="D686" s="50"/>
      <c r="E686" s="50"/>
      <c r="F686" s="50"/>
      <c r="G686" s="50"/>
      <c r="H686" s="50"/>
      <c r="I686" s="50"/>
      <c r="J686" s="50"/>
      <c r="K686" s="50"/>
    </row>
    <row r="687" spans="1:22" ht="99.75" x14ac:dyDescent="0.2">
      <c r="A687" s="18">
        <v>77</v>
      </c>
      <c r="B687" s="18" t="str">
        <f>Source!F642</f>
        <v>1.23-2303-5-1/1</v>
      </c>
      <c r="C687" s="18" t="str">
        <f>Source!G642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D687" s="19" t="str">
        <f>Source!H642</f>
        <v>шт.</v>
      </c>
      <c r="E687" s="9">
        <f>Source!I642</f>
        <v>1</v>
      </c>
      <c r="F687" s="21"/>
      <c r="G687" s="20"/>
      <c r="H687" s="9"/>
      <c r="I687" s="9"/>
      <c r="J687" s="21"/>
      <c r="K687" s="21"/>
      <c r="Q687">
        <f>ROUND((Source!BZ642/100)*ROUND((Source!AF642*Source!AV642)*Source!I642, 2), 2)</f>
        <v>1142.04</v>
      </c>
      <c r="R687">
        <f>Source!X642</f>
        <v>1142.04</v>
      </c>
      <c r="S687">
        <f>ROUND((Source!CA642/100)*ROUND((Source!AF642*Source!AV642)*Source!I642, 2), 2)</f>
        <v>163.15</v>
      </c>
      <c r="T687">
        <f>Source!Y642</f>
        <v>163.15</v>
      </c>
      <c r="U687">
        <f>ROUND((175/100)*ROUND((Source!AE642*Source!AV642)*Source!I642, 2), 2)</f>
        <v>0</v>
      </c>
      <c r="V687">
        <f>ROUND((108/100)*ROUND(Source!CS642*Source!I642, 2), 2)</f>
        <v>0</v>
      </c>
    </row>
    <row r="688" spans="1:22" ht="14.25" x14ac:dyDescent="0.2">
      <c r="A688" s="18"/>
      <c r="B688" s="18"/>
      <c r="C688" s="18" t="s">
        <v>731</v>
      </c>
      <c r="D688" s="19"/>
      <c r="E688" s="9"/>
      <c r="F688" s="21">
        <f>Source!AO642</f>
        <v>815.74</v>
      </c>
      <c r="G688" s="20" t="str">
        <f>Source!DG642</f>
        <v>)*2</v>
      </c>
      <c r="H688" s="9">
        <f>Source!AV642</f>
        <v>1</v>
      </c>
      <c r="I688" s="9">
        <f>IF(Source!BA642&lt;&gt; 0, Source!BA642, 1)</f>
        <v>1</v>
      </c>
      <c r="J688" s="21">
        <f>Source!S642</f>
        <v>1631.48</v>
      </c>
      <c r="K688" s="21"/>
    </row>
    <row r="689" spans="1:22" ht="14.25" x14ac:dyDescent="0.2">
      <c r="A689" s="18"/>
      <c r="B689" s="18"/>
      <c r="C689" s="18" t="s">
        <v>733</v>
      </c>
      <c r="D689" s="19" t="s">
        <v>734</v>
      </c>
      <c r="E689" s="9">
        <f>Source!AT642</f>
        <v>70</v>
      </c>
      <c r="F689" s="21"/>
      <c r="G689" s="20"/>
      <c r="H689" s="9"/>
      <c r="I689" s="9"/>
      <c r="J689" s="21">
        <f>SUM(R687:R688)</f>
        <v>1142.04</v>
      </c>
      <c r="K689" s="21"/>
    </row>
    <row r="690" spans="1:22" ht="14.25" x14ac:dyDescent="0.2">
      <c r="A690" s="18"/>
      <c r="B690" s="18"/>
      <c r="C690" s="18" t="s">
        <v>735</v>
      </c>
      <c r="D690" s="19" t="s">
        <v>734</v>
      </c>
      <c r="E690" s="9">
        <f>Source!AU642</f>
        <v>10</v>
      </c>
      <c r="F690" s="21"/>
      <c r="G690" s="20"/>
      <c r="H690" s="9"/>
      <c r="I690" s="9"/>
      <c r="J690" s="21">
        <f>SUM(T687:T689)</f>
        <v>163.15</v>
      </c>
      <c r="K690" s="21"/>
    </row>
    <row r="691" spans="1:22" ht="14.25" x14ac:dyDescent="0.2">
      <c r="A691" s="18"/>
      <c r="B691" s="18"/>
      <c r="C691" s="18" t="s">
        <v>736</v>
      </c>
      <c r="D691" s="19" t="s">
        <v>737</v>
      </c>
      <c r="E691" s="9">
        <f>Source!AQ642</f>
        <v>1.06</v>
      </c>
      <c r="F691" s="21"/>
      <c r="G691" s="20" t="str">
        <f>Source!DI642</f>
        <v>)*2</v>
      </c>
      <c r="H691" s="9">
        <f>Source!AV642</f>
        <v>1</v>
      </c>
      <c r="I691" s="9"/>
      <c r="J691" s="21"/>
      <c r="K691" s="21">
        <f>Source!U642</f>
        <v>2.12</v>
      </c>
    </row>
    <row r="692" spans="1:22" ht="15" x14ac:dyDescent="0.25">
      <c r="A692" s="23"/>
      <c r="B692" s="23"/>
      <c r="C692" s="23"/>
      <c r="D692" s="23"/>
      <c r="E692" s="23"/>
      <c r="F692" s="23"/>
      <c r="G692" s="23"/>
      <c r="H692" s="23"/>
      <c r="I692" s="51">
        <f>J688+J689+J690</f>
        <v>2936.67</v>
      </c>
      <c r="J692" s="51"/>
      <c r="K692" s="24">
        <f>IF(Source!I642&lt;&gt;0, ROUND(I692/Source!I642, 2), 0)</f>
        <v>2936.67</v>
      </c>
      <c r="P692" s="22">
        <f>I692</f>
        <v>2936.67</v>
      </c>
    </row>
    <row r="693" spans="1:22" ht="42.75" x14ac:dyDescent="0.2">
      <c r="A693" s="18">
        <v>78</v>
      </c>
      <c r="B693" s="18" t="str">
        <f>Source!F643</f>
        <v>1.23-2203-3-1/1</v>
      </c>
      <c r="C693" s="18" t="str">
        <f>Source!G643</f>
        <v>Техническое обслуживание светосигнальной арматуры с лампой накаливания, светодиодом</v>
      </c>
      <c r="D693" s="19" t="str">
        <f>Source!H643</f>
        <v>10 шт.</v>
      </c>
      <c r="E693" s="9">
        <f>Source!I643</f>
        <v>0.2</v>
      </c>
      <c r="F693" s="21"/>
      <c r="G693" s="20"/>
      <c r="H693" s="9"/>
      <c r="I693" s="9"/>
      <c r="J693" s="21"/>
      <c r="K693" s="21"/>
      <c r="Q693">
        <f>ROUND((Source!BZ643/100)*ROUND((Source!AF643*Source!AV643)*Source!I643, 2), 2)</f>
        <v>238.45</v>
      </c>
      <c r="R693">
        <f>Source!X643</f>
        <v>238.45</v>
      </c>
      <c r="S693">
        <f>ROUND((Source!CA643/100)*ROUND((Source!AF643*Source!AV643)*Source!I643, 2), 2)</f>
        <v>34.06</v>
      </c>
      <c r="T693">
        <f>Source!Y643</f>
        <v>34.06</v>
      </c>
      <c r="U693">
        <f>ROUND((175/100)*ROUND((Source!AE643*Source!AV643)*Source!I643, 2), 2)</f>
        <v>0</v>
      </c>
      <c r="V693">
        <f>ROUND((108/100)*ROUND(Source!CS643*Source!I643, 2), 2)</f>
        <v>0</v>
      </c>
    </row>
    <row r="694" spans="1:22" x14ac:dyDescent="0.2">
      <c r="C694" s="25" t="str">
        <f>"Объем: "&amp;Source!I643&amp;"=(1+"&amp;"1)/"&amp;"10"</f>
        <v>Объем: 0,2=(1+1)/10</v>
      </c>
    </row>
    <row r="695" spans="1:22" ht="14.25" x14ac:dyDescent="0.2">
      <c r="A695" s="18"/>
      <c r="B695" s="18"/>
      <c r="C695" s="18" t="s">
        <v>731</v>
      </c>
      <c r="D695" s="19"/>
      <c r="E695" s="9"/>
      <c r="F695" s="21">
        <f>Source!AO643</f>
        <v>1703.18</v>
      </c>
      <c r="G695" s="20" t="str">
        <f>Source!DG643</f>
        <v/>
      </c>
      <c r="H695" s="9">
        <f>Source!AV643</f>
        <v>1</v>
      </c>
      <c r="I695" s="9">
        <f>IF(Source!BA643&lt;&gt; 0, Source!BA643, 1)</f>
        <v>1</v>
      </c>
      <c r="J695" s="21">
        <f>Source!S643</f>
        <v>340.64</v>
      </c>
      <c r="K695" s="21"/>
    </row>
    <row r="696" spans="1:22" ht="14.25" x14ac:dyDescent="0.2">
      <c r="A696" s="18"/>
      <c r="B696" s="18"/>
      <c r="C696" s="18" t="s">
        <v>732</v>
      </c>
      <c r="D696" s="19"/>
      <c r="E696" s="9"/>
      <c r="F696" s="21">
        <f>Source!AL643</f>
        <v>80.67</v>
      </c>
      <c r="G696" s="20" t="str">
        <f>Source!DD643</f>
        <v/>
      </c>
      <c r="H696" s="9">
        <f>Source!AW643</f>
        <v>1</v>
      </c>
      <c r="I696" s="9">
        <f>IF(Source!BC643&lt;&gt; 0, Source!BC643, 1)</f>
        <v>1</v>
      </c>
      <c r="J696" s="21">
        <f>Source!P643</f>
        <v>16.13</v>
      </c>
      <c r="K696" s="21"/>
    </row>
    <row r="697" spans="1:22" ht="14.25" x14ac:dyDescent="0.2">
      <c r="A697" s="18"/>
      <c r="B697" s="18"/>
      <c r="C697" s="18" t="s">
        <v>733</v>
      </c>
      <c r="D697" s="19" t="s">
        <v>734</v>
      </c>
      <c r="E697" s="9">
        <f>Source!AT643</f>
        <v>70</v>
      </c>
      <c r="F697" s="21"/>
      <c r="G697" s="20"/>
      <c r="H697" s="9"/>
      <c r="I697" s="9"/>
      <c r="J697" s="21">
        <f>SUM(R693:R696)</f>
        <v>238.45</v>
      </c>
      <c r="K697" s="21"/>
    </row>
    <row r="698" spans="1:22" ht="14.25" x14ac:dyDescent="0.2">
      <c r="A698" s="18"/>
      <c r="B698" s="18"/>
      <c r="C698" s="18" t="s">
        <v>735</v>
      </c>
      <c r="D698" s="19" t="s">
        <v>734</v>
      </c>
      <c r="E698" s="9">
        <f>Source!AU643</f>
        <v>10</v>
      </c>
      <c r="F698" s="21"/>
      <c r="G698" s="20"/>
      <c r="H698" s="9"/>
      <c r="I698" s="9"/>
      <c r="J698" s="21">
        <f>SUM(T693:T697)</f>
        <v>34.06</v>
      </c>
      <c r="K698" s="21"/>
    </row>
    <row r="699" spans="1:22" ht="14.25" x14ac:dyDescent="0.2">
      <c r="A699" s="18"/>
      <c r="B699" s="18"/>
      <c r="C699" s="18" t="s">
        <v>736</v>
      </c>
      <c r="D699" s="19" t="s">
        <v>737</v>
      </c>
      <c r="E699" s="9">
        <f>Source!AQ643</f>
        <v>2.4</v>
      </c>
      <c r="F699" s="21"/>
      <c r="G699" s="20" t="str">
        <f>Source!DI643</f>
        <v/>
      </c>
      <c r="H699" s="9">
        <f>Source!AV643</f>
        <v>1</v>
      </c>
      <c r="I699" s="9"/>
      <c r="J699" s="21"/>
      <c r="K699" s="21">
        <f>Source!U643</f>
        <v>0.48</v>
      </c>
    </row>
    <row r="700" spans="1:22" ht="15" x14ac:dyDescent="0.25">
      <c r="A700" s="23"/>
      <c r="B700" s="23"/>
      <c r="C700" s="23"/>
      <c r="D700" s="23"/>
      <c r="E700" s="23"/>
      <c r="F700" s="23"/>
      <c r="G700" s="23"/>
      <c r="H700" s="23"/>
      <c r="I700" s="51">
        <f>J695+J696+J697+J698</f>
        <v>629.28</v>
      </c>
      <c r="J700" s="51"/>
      <c r="K700" s="24">
        <f>IF(Source!I643&lt;&gt;0, ROUND(I700/Source!I643, 2), 0)</f>
        <v>3146.4</v>
      </c>
      <c r="P700" s="22">
        <f>I700</f>
        <v>629.28</v>
      </c>
    </row>
    <row r="701" spans="1:22" ht="42.75" x14ac:dyDescent="0.2">
      <c r="A701" s="18">
        <v>79</v>
      </c>
      <c r="B701" s="18" t="str">
        <f>Source!F644</f>
        <v>1.22-2203-78-1/1</v>
      </c>
      <c r="C701" s="18" t="str">
        <f>Source!G644</f>
        <v>Техническое обслуживание блока питания типа БРП-12-01Л /Источник вторичного электропитания 24В, 6.0А</v>
      </c>
      <c r="D701" s="19" t="str">
        <f>Source!H644</f>
        <v>шт.</v>
      </c>
      <c r="E701" s="9">
        <f>Source!I644</f>
        <v>1</v>
      </c>
      <c r="F701" s="21"/>
      <c r="G701" s="20"/>
      <c r="H701" s="9"/>
      <c r="I701" s="9"/>
      <c r="J701" s="21"/>
      <c r="K701" s="21"/>
      <c r="Q701">
        <f>ROUND((Source!BZ644/100)*ROUND((Source!AF644*Source!AV644)*Source!I644, 2), 2)</f>
        <v>668.89</v>
      </c>
      <c r="R701">
        <f>Source!X644</f>
        <v>668.89</v>
      </c>
      <c r="S701">
        <f>ROUND((Source!CA644/100)*ROUND((Source!AF644*Source!AV644)*Source!I644, 2), 2)</f>
        <v>95.56</v>
      </c>
      <c r="T701">
        <f>Source!Y644</f>
        <v>95.56</v>
      </c>
      <c r="U701">
        <f>ROUND((175/100)*ROUND((Source!AE644*Source!AV644)*Source!I644, 2), 2)</f>
        <v>0</v>
      </c>
      <c r="V701">
        <f>ROUND((108/100)*ROUND(Source!CS644*Source!I644, 2), 2)</f>
        <v>0</v>
      </c>
    </row>
    <row r="702" spans="1:22" ht="14.25" x14ac:dyDescent="0.2">
      <c r="A702" s="18"/>
      <c r="B702" s="18"/>
      <c r="C702" s="18" t="s">
        <v>731</v>
      </c>
      <c r="D702" s="19"/>
      <c r="E702" s="9"/>
      <c r="F702" s="21">
        <f>Source!AO644</f>
        <v>477.78</v>
      </c>
      <c r="G702" s="20" t="str">
        <f>Source!DG644</f>
        <v>)*2</v>
      </c>
      <c r="H702" s="9">
        <f>Source!AV644</f>
        <v>1</v>
      </c>
      <c r="I702" s="9">
        <f>IF(Source!BA644&lt;&gt; 0, Source!BA644, 1)</f>
        <v>1</v>
      </c>
      <c r="J702" s="21">
        <f>Source!S644</f>
        <v>955.56</v>
      </c>
      <c r="K702" s="21"/>
    </row>
    <row r="703" spans="1:22" ht="14.25" x14ac:dyDescent="0.2">
      <c r="A703" s="18"/>
      <c r="B703" s="18"/>
      <c r="C703" s="18" t="s">
        <v>732</v>
      </c>
      <c r="D703" s="19"/>
      <c r="E703" s="9"/>
      <c r="F703" s="21">
        <f>Source!AL644</f>
        <v>4.09</v>
      </c>
      <c r="G703" s="20" t="str">
        <f>Source!DD644</f>
        <v>)*2</v>
      </c>
      <c r="H703" s="9">
        <f>Source!AW644</f>
        <v>1</v>
      </c>
      <c r="I703" s="9">
        <f>IF(Source!BC644&lt;&gt; 0, Source!BC644, 1)</f>
        <v>1</v>
      </c>
      <c r="J703" s="21">
        <f>Source!P644</f>
        <v>8.18</v>
      </c>
      <c r="K703" s="21"/>
    </row>
    <row r="704" spans="1:22" ht="14.25" x14ac:dyDescent="0.2">
      <c r="A704" s="18"/>
      <c r="B704" s="18"/>
      <c r="C704" s="18" t="s">
        <v>733</v>
      </c>
      <c r="D704" s="19" t="s">
        <v>734</v>
      </c>
      <c r="E704" s="9">
        <f>Source!AT644</f>
        <v>70</v>
      </c>
      <c r="F704" s="21"/>
      <c r="G704" s="20"/>
      <c r="H704" s="9"/>
      <c r="I704" s="9"/>
      <c r="J704" s="21">
        <f>SUM(R701:R703)</f>
        <v>668.89</v>
      </c>
      <c r="K704" s="21"/>
    </row>
    <row r="705" spans="1:22" ht="14.25" x14ac:dyDescent="0.2">
      <c r="A705" s="18"/>
      <c r="B705" s="18"/>
      <c r="C705" s="18" t="s">
        <v>735</v>
      </c>
      <c r="D705" s="19" t="s">
        <v>734</v>
      </c>
      <c r="E705" s="9">
        <f>Source!AU644</f>
        <v>10</v>
      </c>
      <c r="F705" s="21"/>
      <c r="G705" s="20"/>
      <c r="H705" s="9"/>
      <c r="I705" s="9"/>
      <c r="J705" s="21">
        <f>SUM(T701:T704)</f>
        <v>95.56</v>
      </c>
      <c r="K705" s="21"/>
    </row>
    <row r="706" spans="1:22" ht="14.25" x14ac:dyDescent="0.2">
      <c r="A706" s="18"/>
      <c r="B706" s="18"/>
      <c r="C706" s="18" t="s">
        <v>736</v>
      </c>
      <c r="D706" s="19" t="s">
        <v>737</v>
      </c>
      <c r="E706" s="9">
        <f>Source!AQ644</f>
        <v>0.72</v>
      </c>
      <c r="F706" s="21"/>
      <c r="G706" s="20" t="str">
        <f>Source!DI644</f>
        <v>)*2</v>
      </c>
      <c r="H706" s="9">
        <f>Source!AV644</f>
        <v>1</v>
      </c>
      <c r="I706" s="9"/>
      <c r="J706" s="21"/>
      <c r="K706" s="21">
        <f>Source!U644</f>
        <v>1.44</v>
      </c>
    </row>
    <row r="707" spans="1:22" ht="15" x14ac:dyDescent="0.25">
      <c r="A707" s="23"/>
      <c r="B707" s="23"/>
      <c r="C707" s="23"/>
      <c r="D707" s="23"/>
      <c r="E707" s="23"/>
      <c r="F707" s="23"/>
      <c r="G707" s="23"/>
      <c r="H707" s="23"/>
      <c r="I707" s="51">
        <f>J702+J703+J704+J705</f>
        <v>1728.1899999999998</v>
      </c>
      <c r="J707" s="51"/>
      <c r="K707" s="24">
        <f>IF(Source!I644&lt;&gt;0, ROUND(I707/Source!I644, 2), 0)</f>
        <v>1728.19</v>
      </c>
      <c r="P707" s="22">
        <f>I707</f>
        <v>1728.1899999999998</v>
      </c>
    </row>
    <row r="708" spans="1:22" ht="28.5" x14ac:dyDescent="0.2">
      <c r="A708" s="18">
        <v>80</v>
      </c>
      <c r="B708" s="18" t="str">
        <f>Source!F646</f>
        <v>1.23-2303-12-1/1</v>
      </c>
      <c r="C708" s="18" t="str">
        <f>Source!G646</f>
        <v>Техническое обслуживание контроллеров логических операций</v>
      </c>
      <c r="D708" s="19" t="str">
        <f>Source!H646</f>
        <v>шт.</v>
      </c>
      <c r="E708" s="9">
        <f>Source!I646</f>
        <v>1</v>
      </c>
      <c r="F708" s="21"/>
      <c r="G708" s="20"/>
      <c r="H708" s="9"/>
      <c r="I708" s="9"/>
      <c r="J708" s="21"/>
      <c r="K708" s="21"/>
      <c r="Q708">
        <f>ROUND((Source!BZ646/100)*ROUND((Source!AF646*Source!AV646)*Source!I646, 2), 2)</f>
        <v>3695.92</v>
      </c>
      <c r="R708">
        <f>Source!X646</f>
        <v>3695.92</v>
      </c>
      <c r="S708">
        <f>ROUND((Source!CA646/100)*ROUND((Source!AF646*Source!AV646)*Source!I646, 2), 2)</f>
        <v>527.99</v>
      </c>
      <c r="T708">
        <f>Source!Y646</f>
        <v>527.99</v>
      </c>
      <c r="U708">
        <f>ROUND((175/100)*ROUND((Source!AE646*Source!AV646)*Source!I646, 2), 2)</f>
        <v>0</v>
      </c>
      <c r="V708">
        <f>ROUND((108/100)*ROUND(Source!CS646*Source!I646, 2), 2)</f>
        <v>0</v>
      </c>
    </row>
    <row r="709" spans="1:22" ht="14.25" x14ac:dyDescent="0.2">
      <c r="A709" s="18"/>
      <c r="B709" s="18"/>
      <c r="C709" s="18" t="s">
        <v>731</v>
      </c>
      <c r="D709" s="19"/>
      <c r="E709" s="9"/>
      <c r="F709" s="21">
        <f>Source!AO646</f>
        <v>2639.94</v>
      </c>
      <c r="G709" s="20" t="str">
        <f>Source!DG646</f>
        <v>)*2</v>
      </c>
      <c r="H709" s="9">
        <f>Source!AV646</f>
        <v>1</v>
      </c>
      <c r="I709" s="9">
        <f>IF(Source!BA646&lt;&gt; 0, Source!BA646, 1)</f>
        <v>1</v>
      </c>
      <c r="J709" s="21">
        <f>Source!S646</f>
        <v>5279.88</v>
      </c>
      <c r="K709" s="21"/>
    </row>
    <row r="710" spans="1:22" ht="14.25" x14ac:dyDescent="0.2">
      <c r="A710" s="18"/>
      <c r="B710" s="18"/>
      <c r="C710" s="18" t="s">
        <v>732</v>
      </c>
      <c r="D710" s="19"/>
      <c r="E710" s="9"/>
      <c r="F710" s="21">
        <f>Source!AL646</f>
        <v>4.97</v>
      </c>
      <c r="G710" s="20" t="str">
        <f>Source!DD646</f>
        <v>)*2</v>
      </c>
      <c r="H710" s="9">
        <f>Source!AW646</f>
        <v>1</v>
      </c>
      <c r="I710" s="9">
        <f>IF(Source!BC646&lt;&gt; 0, Source!BC646, 1)</f>
        <v>1</v>
      </c>
      <c r="J710" s="21">
        <f>Source!P646</f>
        <v>9.94</v>
      </c>
      <c r="K710" s="21"/>
    </row>
    <row r="711" spans="1:22" ht="14.25" x14ac:dyDescent="0.2">
      <c r="A711" s="18"/>
      <c r="B711" s="18"/>
      <c r="C711" s="18" t="s">
        <v>733</v>
      </c>
      <c r="D711" s="19" t="s">
        <v>734</v>
      </c>
      <c r="E711" s="9">
        <f>Source!AT646</f>
        <v>70</v>
      </c>
      <c r="F711" s="21"/>
      <c r="G711" s="20"/>
      <c r="H711" s="9"/>
      <c r="I711" s="9"/>
      <c r="J711" s="21">
        <f>SUM(R708:R710)</f>
        <v>3695.92</v>
      </c>
      <c r="K711" s="21"/>
    </row>
    <row r="712" spans="1:22" ht="14.25" x14ac:dyDescent="0.2">
      <c r="A712" s="18"/>
      <c r="B712" s="18"/>
      <c r="C712" s="18" t="s">
        <v>735</v>
      </c>
      <c r="D712" s="19" t="s">
        <v>734</v>
      </c>
      <c r="E712" s="9">
        <f>Source!AU646</f>
        <v>10</v>
      </c>
      <c r="F712" s="21"/>
      <c r="G712" s="20"/>
      <c r="H712" s="9"/>
      <c r="I712" s="9"/>
      <c r="J712" s="21">
        <f>SUM(T708:T711)</f>
        <v>527.99</v>
      </c>
      <c r="K712" s="21"/>
    </row>
    <row r="713" spans="1:22" ht="14.25" x14ac:dyDescent="0.2">
      <c r="A713" s="18"/>
      <c r="B713" s="18"/>
      <c r="C713" s="18" t="s">
        <v>736</v>
      </c>
      <c r="D713" s="19" t="s">
        <v>737</v>
      </c>
      <c r="E713" s="9">
        <f>Source!AQ646</f>
        <v>3.72</v>
      </c>
      <c r="F713" s="21"/>
      <c r="G713" s="20" t="str">
        <f>Source!DI646</f>
        <v>)*2</v>
      </c>
      <c r="H713" s="9">
        <f>Source!AV646</f>
        <v>1</v>
      </c>
      <c r="I713" s="9"/>
      <c r="J713" s="21"/>
      <c r="K713" s="21">
        <f>Source!U646</f>
        <v>7.44</v>
      </c>
    </row>
    <row r="714" spans="1:22" ht="15" x14ac:dyDescent="0.25">
      <c r="A714" s="23"/>
      <c r="B714" s="23"/>
      <c r="C714" s="23"/>
      <c r="D714" s="23"/>
      <c r="E714" s="23"/>
      <c r="F714" s="23"/>
      <c r="G714" s="23"/>
      <c r="H714" s="23"/>
      <c r="I714" s="51">
        <f>J709+J710+J711+J712</f>
        <v>9513.73</v>
      </c>
      <c r="J714" s="51"/>
      <c r="K714" s="24">
        <f>IF(Source!I646&lt;&gt;0, ROUND(I714/Source!I646, 2), 0)</f>
        <v>9513.73</v>
      </c>
      <c r="P714" s="22">
        <f>I714</f>
        <v>9513.73</v>
      </c>
    </row>
    <row r="715" spans="1:22" ht="28.5" x14ac:dyDescent="0.2">
      <c r="A715" s="18">
        <v>81</v>
      </c>
      <c r="B715" s="18" t="str">
        <f>Source!F647</f>
        <v>1.23-2303-11-1/1</v>
      </c>
      <c r="C715" s="18" t="str">
        <f>Source!G647</f>
        <v>Техническое обслуживание модулей аналоговых входных сигналов</v>
      </c>
      <c r="D715" s="19" t="str">
        <f>Source!H647</f>
        <v>шт.</v>
      </c>
      <c r="E715" s="9">
        <f>Source!I647</f>
        <v>2</v>
      </c>
      <c r="F715" s="21"/>
      <c r="G715" s="20"/>
      <c r="H715" s="9"/>
      <c r="I715" s="9"/>
      <c r="J715" s="21"/>
      <c r="K715" s="21"/>
      <c r="Q715">
        <f>ROUND((Source!BZ647/100)*ROUND((Source!AF647*Source!AV647)*Source!I647, 2), 2)</f>
        <v>6000.88</v>
      </c>
      <c r="R715">
        <f>Source!X647</f>
        <v>6000.88</v>
      </c>
      <c r="S715">
        <f>ROUND((Source!CA647/100)*ROUND((Source!AF647*Source!AV647)*Source!I647, 2), 2)</f>
        <v>857.27</v>
      </c>
      <c r="T715">
        <f>Source!Y647</f>
        <v>857.27</v>
      </c>
      <c r="U715">
        <f>ROUND((175/100)*ROUND((Source!AE647*Source!AV647)*Source!I647, 2), 2)</f>
        <v>0</v>
      </c>
      <c r="V715">
        <f>ROUND((108/100)*ROUND(Source!CS647*Source!I647, 2), 2)</f>
        <v>0</v>
      </c>
    </row>
    <row r="716" spans="1:22" ht="14.25" x14ac:dyDescent="0.2">
      <c r="A716" s="18"/>
      <c r="B716" s="18"/>
      <c r="C716" s="18" t="s">
        <v>731</v>
      </c>
      <c r="D716" s="19"/>
      <c r="E716" s="9"/>
      <c r="F716" s="21">
        <f>Source!AO647</f>
        <v>2143.17</v>
      </c>
      <c r="G716" s="20" t="str">
        <f>Source!DG647</f>
        <v>)*2</v>
      </c>
      <c r="H716" s="9">
        <f>Source!AV647</f>
        <v>1</v>
      </c>
      <c r="I716" s="9">
        <f>IF(Source!BA647&lt;&gt; 0, Source!BA647, 1)</f>
        <v>1</v>
      </c>
      <c r="J716" s="21">
        <f>Source!S647</f>
        <v>8572.68</v>
      </c>
      <c r="K716" s="21"/>
    </row>
    <row r="717" spans="1:22" ht="14.25" x14ac:dyDescent="0.2">
      <c r="A717" s="18"/>
      <c r="B717" s="18"/>
      <c r="C717" s="18" t="s">
        <v>732</v>
      </c>
      <c r="D717" s="19"/>
      <c r="E717" s="9"/>
      <c r="F717" s="21">
        <f>Source!AL647</f>
        <v>4.97</v>
      </c>
      <c r="G717" s="20" t="str">
        <f>Source!DD647</f>
        <v>)*2</v>
      </c>
      <c r="H717" s="9">
        <f>Source!AW647</f>
        <v>1</v>
      </c>
      <c r="I717" s="9">
        <f>IF(Source!BC647&lt;&gt; 0, Source!BC647, 1)</f>
        <v>1</v>
      </c>
      <c r="J717" s="21">
        <f>Source!P647</f>
        <v>19.88</v>
      </c>
      <c r="K717" s="21"/>
    </row>
    <row r="718" spans="1:22" ht="14.25" x14ac:dyDescent="0.2">
      <c r="A718" s="18"/>
      <c r="B718" s="18"/>
      <c r="C718" s="18" t="s">
        <v>733</v>
      </c>
      <c r="D718" s="19" t="s">
        <v>734</v>
      </c>
      <c r="E718" s="9">
        <f>Source!AT647</f>
        <v>70</v>
      </c>
      <c r="F718" s="21"/>
      <c r="G718" s="20"/>
      <c r="H718" s="9"/>
      <c r="I718" s="9"/>
      <c r="J718" s="21">
        <f>SUM(R715:R717)</f>
        <v>6000.88</v>
      </c>
      <c r="K718" s="21"/>
    </row>
    <row r="719" spans="1:22" ht="14.25" x14ac:dyDescent="0.2">
      <c r="A719" s="18"/>
      <c r="B719" s="18"/>
      <c r="C719" s="18" t="s">
        <v>735</v>
      </c>
      <c r="D719" s="19" t="s">
        <v>734</v>
      </c>
      <c r="E719" s="9">
        <f>Source!AU647</f>
        <v>10</v>
      </c>
      <c r="F719" s="21"/>
      <c r="G719" s="20"/>
      <c r="H719" s="9"/>
      <c r="I719" s="9"/>
      <c r="J719" s="21">
        <f>SUM(T715:T718)</f>
        <v>857.27</v>
      </c>
      <c r="K719" s="21"/>
    </row>
    <row r="720" spans="1:22" ht="14.25" x14ac:dyDescent="0.2">
      <c r="A720" s="18"/>
      <c r="B720" s="18"/>
      <c r="C720" s="18" t="s">
        <v>736</v>
      </c>
      <c r="D720" s="19" t="s">
        <v>737</v>
      </c>
      <c r="E720" s="9">
        <f>Source!AQ647</f>
        <v>3.02</v>
      </c>
      <c r="F720" s="21"/>
      <c r="G720" s="20" t="str">
        <f>Source!DI647</f>
        <v>)*2</v>
      </c>
      <c r="H720" s="9">
        <f>Source!AV647</f>
        <v>1</v>
      </c>
      <c r="I720" s="9"/>
      <c r="J720" s="21"/>
      <c r="K720" s="21">
        <f>Source!U647</f>
        <v>12.08</v>
      </c>
    </row>
    <row r="721" spans="1:22" ht="15" x14ac:dyDescent="0.25">
      <c r="A721" s="23"/>
      <c r="B721" s="23"/>
      <c r="C721" s="23"/>
      <c r="D721" s="23"/>
      <c r="E721" s="23"/>
      <c r="F721" s="23"/>
      <c r="G721" s="23"/>
      <c r="H721" s="23"/>
      <c r="I721" s="51">
        <f>J716+J717+J718+J719</f>
        <v>15450.71</v>
      </c>
      <c r="J721" s="51"/>
      <c r="K721" s="24">
        <f>IF(Source!I647&lt;&gt;0, ROUND(I721/Source!I647, 2), 0)</f>
        <v>7725.36</v>
      </c>
      <c r="P721" s="22">
        <f>I721</f>
        <v>15450.71</v>
      </c>
    </row>
    <row r="722" spans="1:22" ht="28.5" x14ac:dyDescent="0.2">
      <c r="A722" s="18">
        <v>82</v>
      </c>
      <c r="B722" s="18" t="str">
        <f>Source!F648</f>
        <v>1.23-2303-11-3/1</v>
      </c>
      <c r="C722" s="18" t="str">
        <f>Source!G648</f>
        <v>Техническое обслуживание модулей дискретных входных сигналов</v>
      </c>
      <c r="D722" s="19" t="str">
        <f>Source!H648</f>
        <v>шт.</v>
      </c>
      <c r="E722" s="9">
        <f>Source!I648</f>
        <v>4</v>
      </c>
      <c r="F722" s="21"/>
      <c r="G722" s="20"/>
      <c r="H722" s="9"/>
      <c r="I722" s="9"/>
      <c r="J722" s="21"/>
      <c r="K722" s="21"/>
      <c r="Q722">
        <f>ROUND((Source!BZ648/100)*ROUND((Source!AF648*Source!AV648)*Source!I648, 2), 2)</f>
        <v>11445.39</v>
      </c>
      <c r="R722">
        <f>Source!X648</f>
        <v>11445.39</v>
      </c>
      <c r="S722">
        <f>ROUND((Source!CA648/100)*ROUND((Source!AF648*Source!AV648)*Source!I648, 2), 2)</f>
        <v>1635.06</v>
      </c>
      <c r="T722">
        <f>Source!Y648</f>
        <v>1635.06</v>
      </c>
      <c r="U722">
        <f>ROUND((175/100)*ROUND((Source!AE648*Source!AV648)*Source!I648, 2), 2)</f>
        <v>0</v>
      </c>
      <c r="V722">
        <f>ROUND((108/100)*ROUND(Source!CS648*Source!I648, 2), 2)</f>
        <v>0</v>
      </c>
    </row>
    <row r="723" spans="1:22" ht="14.25" x14ac:dyDescent="0.2">
      <c r="A723" s="18"/>
      <c r="B723" s="18"/>
      <c r="C723" s="18" t="s">
        <v>731</v>
      </c>
      <c r="D723" s="19"/>
      <c r="E723" s="9"/>
      <c r="F723" s="21">
        <f>Source!AO648</f>
        <v>2043.82</v>
      </c>
      <c r="G723" s="20" t="str">
        <f>Source!DG648</f>
        <v>)*2</v>
      </c>
      <c r="H723" s="9">
        <f>Source!AV648</f>
        <v>1</v>
      </c>
      <c r="I723" s="9">
        <f>IF(Source!BA648&lt;&gt; 0, Source!BA648, 1)</f>
        <v>1</v>
      </c>
      <c r="J723" s="21">
        <f>Source!S648</f>
        <v>16350.56</v>
      </c>
      <c r="K723" s="21"/>
    </row>
    <row r="724" spans="1:22" ht="14.25" x14ac:dyDescent="0.2">
      <c r="A724" s="18"/>
      <c r="B724" s="18"/>
      <c r="C724" s="18" t="s">
        <v>732</v>
      </c>
      <c r="D724" s="19"/>
      <c r="E724" s="9"/>
      <c r="F724" s="21">
        <f>Source!AL648</f>
        <v>4.97</v>
      </c>
      <c r="G724" s="20" t="str">
        <f>Source!DD648</f>
        <v>)*2</v>
      </c>
      <c r="H724" s="9">
        <f>Source!AW648</f>
        <v>1</v>
      </c>
      <c r="I724" s="9">
        <f>IF(Source!BC648&lt;&gt; 0, Source!BC648, 1)</f>
        <v>1</v>
      </c>
      <c r="J724" s="21">
        <f>Source!P648</f>
        <v>39.76</v>
      </c>
      <c r="K724" s="21"/>
    </row>
    <row r="725" spans="1:22" ht="14.25" x14ac:dyDescent="0.2">
      <c r="A725" s="18"/>
      <c r="B725" s="18"/>
      <c r="C725" s="18" t="s">
        <v>733</v>
      </c>
      <c r="D725" s="19" t="s">
        <v>734</v>
      </c>
      <c r="E725" s="9">
        <f>Source!AT648</f>
        <v>70</v>
      </c>
      <c r="F725" s="21"/>
      <c r="G725" s="20"/>
      <c r="H725" s="9"/>
      <c r="I725" s="9"/>
      <c r="J725" s="21">
        <f>SUM(R722:R724)</f>
        <v>11445.39</v>
      </c>
      <c r="K725" s="21"/>
    </row>
    <row r="726" spans="1:22" ht="14.25" x14ac:dyDescent="0.2">
      <c r="A726" s="18"/>
      <c r="B726" s="18"/>
      <c r="C726" s="18" t="s">
        <v>735</v>
      </c>
      <c r="D726" s="19" t="s">
        <v>734</v>
      </c>
      <c r="E726" s="9">
        <f>Source!AU648</f>
        <v>10</v>
      </c>
      <c r="F726" s="21"/>
      <c r="G726" s="20"/>
      <c r="H726" s="9"/>
      <c r="I726" s="9"/>
      <c r="J726" s="21">
        <f>SUM(T722:T725)</f>
        <v>1635.06</v>
      </c>
      <c r="K726" s="21"/>
    </row>
    <row r="727" spans="1:22" ht="14.25" x14ac:dyDescent="0.2">
      <c r="A727" s="18"/>
      <c r="B727" s="18"/>
      <c r="C727" s="18" t="s">
        <v>736</v>
      </c>
      <c r="D727" s="19" t="s">
        <v>737</v>
      </c>
      <c r="E727" s="9">
        <f>Source!AQ648</f>
        <v>2.88</v>
      </c>
      <c r="F727" s="21"/>
      <c r="G727" s="20" t="str">
        <f>Source!DI648</f>
        <v>)*2</v>
      </c>
      <c r="H727" s="9">
        <f>Source!AV648</f>
        <v>1</v>
      </c>
      <c r="I727" s="9"/>
      <c r="J727" s="21"/>
      <c r="K727" s="21">
        <f>Source!U648</f>
        <v>23.04</v>
      </c>
    </row>
    <row r="728" spans="1:22" ht="15" x14ac:dyDescent="0.25">
      <c r="A728" s="23"/>
      <c r="B728" s="23"/>
      <c r="C728" s="23"/>
      <c r="D728" s="23"/>
      <c r="E728" s="23"/>
      <c r="F728" s="23"/>
      <c r="G728" s="23"/>
      <c r="H728" s="23"/>
      <c r="I728" s="51">
        <f>J723+J724+J725+J726</f>
        <v>29470.77</v>
      </c>
      <c r="J728" s="51"/>
      <c r="K728" s="24">
        <f>IF(Source!I648&lt;&gt;0, ROUND(I728/Source!I648, 2), 0)</f>
        <v>7367.69</v>
      </c>
      <c r="P728" s="22">
        <f>I728</f>
        <v>29470.77</v>
      </c>
    </row>
    <row r="729" spans="1:22" ht="143.25" x14ac:dyDescent="0.2">
      <c r="A729" s="18">
        <v>83</v>
      </c>
      <c r="B729" s="18" t="s">
        <v>745</v>
      </c>
      <c r="C729" s="18" t="s">
        <v>746</v>
      </c>
      <c r="D729" s="19" t="str">
        <f>Source!H649</f>
        <v>шт.</v>
      </c>
      <c r="E729" s="9">
        <f>Source!I649</f>
        <v>3</v>
      </c>
      <c r="F729" s="21"/>
      <c r="G729" s="20"/>
      <c r="H729" s="9"/>
      <c r="I729" s="9"/>
      <c r="J729" s="21"/>
      <c r="K729" s="21"/>
      <c r="Q729">
        <f>ROUND((Source!BZ649/100)*ROUND((Source!AF649*Source!AV649)*Source!I649, 2), 2)</f>
        <v>1815.16</v>
      </c>
      <c r="R729">
        <f>Source!X649</f>
        <v>1815.16</v>
      </c>
      <c r="S729">
        <f>ROUND((Source!CA649/100)*ROUND((Source!AF649*Source!AV649)*Source!I649, 2), 2)</f>
        <v>259.31</v>
      </c>
      <c r="T729">
        <f>Source!Y649</f>
        <v>259.31</v>
      </c>
      <c r="U729">
        <f>ROUND((175/100)*ROUND((Source!AE649*Source!AV649)*Source!I649, 2), 2)</f>
        <v>303.63</v>
      </c>
      <c r="V729">
        <f>ROUND((108/100)*ROUND(Source!CS649*Source!I649, 2), 2)</f>
        <v>187.38</v>
      </c>
    </row>
    <row r="730" spans="1:22" ht="14.25" x14ac:dyDescent="0.2">
      <c r="A730" s="18"/>
      <c r="B730" s="18"/>
      <c r="C730" s="18" t="s">
        <v>731</v>
      </c>
      <c r="D730" s="19"/>
      <c r="E730" s="9"/>
      <c r="F730" s="21">
        <f>Source!AO649</f>
        <v>617.4</v>
      </c>
      <c r="G730" s="20" t="str">
        <f>Source!DG649</f>
        <v>)*2)*0,70</v>
      </c>
      <c r="H730" s="9">
        <f>Source!AV649</f>
        <v>1</v>
      </c>
      <c r="I730" s="9">
        <f>IF(Source!BA649&lt;&gt; 0, Source!BA649, 1)</f>
        <v>1</v>
      </c>
      <c r="J730" s="21">
        <f>Source!S649</f>
        <v>2593.08</v>
      </c>
      <c r="K730" s="21"/>
    </row>
    <row r="731" spans="1:22" ht="14.25" x14ac:dyDescent="0.2">
      <c r="A731" s="18"/>
      <c r="B731" s="18"/>
      <c r="C731" s="18" t="s">
        <v>738</v>
      </c>
      <c r="D731" s="19"/>
      <c r="E731" s="9"/>
      <c r="F731" s="21">
        <f>Source!AM649</f>
        <v>65.150000000000006</v>
      </c>
      <c r="G731" s="20" t="str">
        <f>Source!DE649</f>
        <v>)*2*0,70</v>
      </c>
      <c r="H731" s="9">
        <f>Source!AV649</f>
        <v>1</v>
      </c>
      <c r="I731" s="9">
        <f>IF(Source!BB649&lt;&gt; 0, Source!BB649, 1)</f>
        <v>1</v>
      </c>
      <c r="J731" s="21">
        <f>Source!Q649</f>
        <v>273.63</v>
      </c>
      <c r="K731" s="21"/>
    </row>
    <row r="732" spans="1:22" ht="14.25" x14ac:dyDescent="0.2">
      <c r="A732" s="18"/>
      <c r="B732" s="18"/>
      <c r="C732" s="18" t="s">
        <v>739</v>
      </c>
      <c r="D732" s="19"/>
      <c r="E732" s="9"/>
      <c r="F732" s="21">
        <f>Source!AN649</f>
        <v>41.31</v>
      </c>
      <c r="G732" s="20" t="str">
        <f>Source!DF649</f>
        <v>)*2*0,70</v>
      </c>
      <c r="H732" s="9">
        <f>Source!AV649</f>
        <v>1</v>
      </c>
      <c r="I732" s="9">
        <f>IF(Source!BS649&lt;&gt; 0, Source!BS649, 1)</f>
        <v>1</v>
      </c>
      <c r="J732" s="27">
        <f>Source!R649</f>
        <v>173.5</v>
      </c>
      <c r="K732" s="21"/>
    </row>
    <row r="733" spans="1:22" ht="14.25" x14ac:dyDescent="0.2">
      <c r="A733" s="18"/>
      <c r="B733" s="18"/>
      <c r="C733" s="18" t="s">
        <v>732</v>
      </c>
      <c r="D733" s="19"/>
      <c r="E733" s="9"/>
      <c r="F733" s="21">
        <f>Source!AL649</f>
        <v>0.47</v>
      </c>
      <c r="G733" s="20" t="str">
        <f>Source!DD649</f>
        <v>)*2)*1</v>
      </c>
      <c r="H733" s="9">
        <f>Source!AW649</f>
        <v>1</v>
      </c>
      <c r="I733" s="9">
        <f>IF(Source!BC649&lt;&gt; 0, Source!BC649, 1)</f>
        <v>1</v>
      </c>
      <c r="J733" s="21">
        <f>Source!P649</f>
        <v>2.82</v>
      </c>
      <c r="K733" s="21"/>
    </row>
    <row r="734" spans="1:22" ht="14.25" x14ac:dyDescent="0.2">
      <c r="A734" s="18"/>
      <c r="B734" s="18"/>
      <c r="C734" s="18" t="s">
        <v>733</v>
      </c>
      <c r="D734" s="19" t="s">
        <v>734</v>
      </c>
      <c r="E734" s="9">
        <f>Source!AT649</f>
        <v>70</v>
      </c>
      <c r="F734" s="21"/>
      <c r="G734" s="20"/>
      <c r="H734" s="9"/>
      <c r="I734" s="9"/>
      <c r="J734" s="21">
        <f>SUM(R729:R733)</f>
        <v>1815.16</v>
      </c>
      <c r="K734" s="21"/>
    </row>
    <row r="735" spans="1:22" ht="14.25" x14ac:dyDescent="0.2">
      <c r="A735" s="18"/>
      <c r="B735" s="18"/>
      <c r="C735" s="18" t="s">
        <v>735</v>
      </c>
      <c r="D735" s="19" t="s">
        <v>734</v>
      </c>
      <c r="E735" s="9">
        <f>Source!AU649</f>
        <v>10</v>
      </c>
      <c r="F735" s="21"/>
      <c r="G735" s="20"/>
      <c r="H735" s="9"/>
      <c r="I735" s="9"/>
      <c r="J735" s="21">
        <f>SUM(T729:T734)</f>
        <v>259.31</v>
      </c>
      <c r="K735" s="21"/>
    </row>
    <row r="736" spans="1:22" ht="14.25" x14ac:dyDescent="0.2">
      <c r="A736" s="18"/>
      <c r="B736" s="18"/>
      <c r="C736" s="18" t="s">
        <v>740</v>
      </c>
      <c r="D736" s="19" t="s">
        <v>734</v>
      </c>
      <c r="E736" s="9">
        <f>108</f>
        <v>108</v>
      </c>
      <c r="F736" s="21"/>
      <c r="G736" s="20"/>
      <c r="H736" s="9"/>
      <c r="I736" s="9"/>
      <c r="J736" s="21">
        <f>SUM(V729:V735)</f>
        <v>187.38</v>
      </c>
      <c r="K736" s="21"/>
    </row>
    <row r="737" spans="1:22" ht="14.25" x14ac:dyDescent="0.2">
      <c r="A737" s="18"/>
      <c r="B737" s="18"/>
      <c r="C737" s="18" t="s">
        <v>736</v>
      </c>
      <c r="D737" s="19" t="s">
        <v>737</v>
      </c>
      <c r="E737" s="9">
        <f>Source!AQ649</f>
        <v>0.87</v>
      </c>
      <c r="F737" s="21"/>
      <c r="G737" s="20" t="str">
        <f>Source!DI649</f>
        <v>)*2)*0,70</v>
      </c>
      <c r="H737" s="9">
        <f>Source!AV649</f>
        <v>1</v>
      </c>
      <c r="I737" s="9"/>
      <c r="J737" s="21"/>
      <c r="K737" s="21">
        <f>Source!U649</f>
        <v>3.6539999999999999</v>
      </c>
    </row>
    <row r="738" spans="1:22" ht="15" x14ac:dyDescent="0.25">
      <c r="A738" s="23"/>
      <c r="B738" s="23"/>
      <c r="C738" s="23"/>
      <c r="D738" s="23"/>
      <c r="E738" s="23"/>
      <c r="F738" s="23"/>
      <c r="G738" s="23"/>
      <c r="H738" s="23"/>
      <c r="I738" s="51">
        <f>J730+J731+J733+J734+J735+J736</f>
        <v>5131.380000000001</v>
      </c>
      <c r="J738" s="51"/>
      <c r="K738" s="24">
        <f>IF(Source!I649&lt;&gt;0, ROUND(I738/Source!I649, 2), 0)</f>
        <v>1710.46</v>
      </c>
      <c r="P738" s="22">
        <f>I738</f>
        <v>5131.380000000001</v>
      </c>
    </row>
    <row r="739" spans="1:22" ht="57" x14ac:dyDescent="0.2">
      <c r="A739" s="18">
        <v>84</v>
      </c>
      <c r="B739" s="18" t="str">
        <f>Source!F651</f>
        <v>1.23-2103-15-1/1</v>
      </c>
      <c r="C739" s="18" t="str">
        <f>Source!G651</f>
        <v>Техническое обслуживание сигнализатора уровня /Извещатель протечки воды H2O-Контакт NEW исп.2 (Н.З.)  Альянс</v>
      </c>
      <c r="D739" s="19" t="str">
        <f>Source!H651</f>
        <v>шт.</v>
      </c>
      <c r="E739" s="9">
        <f>Source!I651</f>
        <v>6</v>
      </c>
      <c r="F739" s="21"/>
      <c r="G739" s="20"/>
      <c r="H739" s="9"/>
      <c r="I739" s="9"/>
      <c r="J739" s="21"/>
      <c r="K739" s="21"/>
      <c r="Q739">
        <f>ROUND((Source!BZ651/100)*ROUND((Source!AF651*Source!AV651)*Source!I651, 2), 2)</f>
        <v>6410.12</v>
      </c>
      <c r="R739">
        <f>Source!X651</f>
        <v>6410.12</v>
      </c>
      <c r="S739">
        <f>ROUND((Source!CA651/100)*ROUND((Source!AF651*Source!AV651)*Source!I651, 2), 2)</f>
        <v>915.73</v>
      </c>
      <c r="T739">
        <f>Source!Y651</f>
        <v>915.73</v>
      </c>
      <c r="U739">
        <f>ROUND((175/100)*ROUND((Source!AE651*Source!AV651)*Source!I651, 2), 2)</f>
        <v>0</v>
      </c>
      <c r="V739">
        <f>ROUND((108/100)*ROUND(Source!CS651*Source!I651, 2), 2)</f>
        <v>0</v>
      </c>
    </row>
    <row r="740" spans="1:22" ht="14.25" x14ac:dyDescent="0.2">
      <c r="A740" s="18"/>
      <c r="B740" s="18"/>
      <c r="C740" s="18" t="s">
        <v>731</v>
      </c>
      <c r="D740" s="19"/>
      <c r="E740" s="9"/>
      <c r="F740" s="21">
        <f>Source!AO651</f>
        <v>763.11</v>
      </c>
      <c r="G740" s="20" t="str">
        <f>Source!DG651</f>
        <v>)*2</v>
      </c>
      <c r="H740" s="9">
        <f>Source!AV651</f>
        <v>1</v>
      </c>
      <c r="I740" s="9">
        <f>IF(Source!BA651&lt;&gt; 0, Source!BA651, 1)</f>
        <v>1</v>
      </c>
      <c r="J740" s="21">
        <f>Source!S651</f>
        <v>9157.32</v>
      </c>
      <c r="K740" s="21"/>
    </row>
    <row r="741" spans="1:22" ht="14.25" x14ac:dyDescent="0.2">
      <c r="A741" s="18"/>
      <c r="B741" s="18"/>
      <c r="C741" s="18" t="s">
        <v>732</v>
      </c>
      <c r="D741" s="19"/>
      <c r="E741" s="9"/>
      <c r="F741" s="21">
        <f>Source!AL651</f>
        <v>22.54</v>
      </c>
      <c r="G741" s="20" t="str">
        <f>Source!DD651</f>
        <v>)*2</v>
      </c>
      <c r="H741" s="9">
        <f>Source!AW651</f>
        <v>1</v>
      </c>
      <c r="I741" s="9">
        <f>IF(Source!BC651&lt;&gt; 0, Source!BC651, 1)</f>
        <v>1</v>
      </c>
      <c r="J741" s="21">
        <f>Source!P651</f>
        <v>270.48</v>
      </c>
      <c r="K741" s="21"/>
    </row>
    <row r="742" spans="1:22" ht="14.25" x14ac:dyDescent="0.2">
      <c r="A742" s="18"/>
      <c r="B742" s="18"/>
      <c r="C742" s="18" t="s">
        <v>733</v>
      </c>
      <c r="D742" s="19" t="s">
        <v>734</v>
      </c>
      <c r="E742" s="9">
        <f>Source!AT651</f>
        <v>70</v>
      </c>
      <c r="F742" s="21"/>
      <c r="G742" s="20"/>
      <c r="H742" s="9"/>
      <c r="I742" s="9"/>
      <c r="J742" s="21">
        <f>SUM(R739:R741)</f>
        <v>6410.12</v>
      </c>
      <c r="K742" s="21"/>
    </row>
    <row r="743" spans="1:22" ht="14.25" x14ac:dyDescent="0.2">
      <c r="A743" s="18"/>
      <c r="B743" s="18"/>
      <c r="C743" s="18" t="s">
        <v>735</v>
      </c>
      <c r="D743" s="19" t="s">
        <v>734</v>
      </c>
      <c r="E743" s="9">
        <f>Source!AU651</f>
        <v>10</v>
      </c>
      <c r="F743" s="21"/>
      <c r="G743" s="20"/>
      <c r="H743" s="9"/>
      <c r="I743" s="9"/>
      <c r="J743" s="21">
        <f>SUM(T739:T742)</f>
        <v>915.73</v>
      </c>
      <c r="K743" s="21"/>
    </row>
    <row r="744" spans="1:22" ht="14.25" x14ac:dyDescent="0.2">
      <c r="A744" s="18"/>
      <c r="B744" s="18"/>
      <c r="C744" s="18" t="s">
        <v>736</v>
      </c>
      <c r="D744" s="19" t="s">
        <v>737</v>
      </c>
      <c r="E744" s="9">
        <f>Source!AQ651</f>
        <v>0.92</v>
      </c>
      <c r="F744" s="21"/>
      <c r="G744" s="20" t="str">
        <f>Source!DI651</f>
        <v>)*2</v>
      </c>
      <c r="H744" s="9">
        <f>Source!AV651</f>
        <v>1</v>
      </c>
      <c r="I744" s="9"/>
      <c r="J744" s="21"/>
      <c r="K744" s="21">
        <f>Source!U651</f>
        <v>11.040000000000001</v>
      </c>
    </row>
    <row r="745" spans="1:22" ht="15" x14ac:dyDescent="0.25">
      <c r="A745" s="23"/>
      <c r="B745" s="23"/>
      <c r="C745" s="23"/>
      <c r="D745" s="23"/>
      <c r="E745" s="23"/>
      <c r="F745" s="23"/>
      <c r="G745" s="23"/>
      <c r="H745" s="23"/>
      <c r="I745" s="51">
        <f>J740+J741+J742+J743</f>
        <v>16753.649999999998</v>
      </c>
      <c r="J745" s="51"/>
      <c r="K745" s="24">
        <f>IF(Source!I651&lt;&gt;0, ROUND(I745/Source!I651, 2), 0)</f>
        <v>2792.28</v>
      </c>
      <c r="P745" s="22">
        <f>I745</f>
        <v>16753.649999999998</v>
      </c>
    </row>
    <row r="746" spans="1:22" ht="85.5" x14ac:dyDescent="0.2">
      <c r="A746" s="18">
        <v>85</v>
      </c>
      <c r="B746" s="18" t="str">
        <f>Source!F652</f>
        <v>1.23-2103-9-7/1</v>
      </c>
      <c r="C746" s="18" t="str">
        <f>Source!G652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D746" s="19" t="str">
        <f>Source!H652</f>
        <v>шт.</v>
      </c>
      <c r="E746" s="9">
        <f>Source!I652</f>
        <v>14</v>
      </c>
      <c r="F746" s="21"/>
      <c r="G746" s="20"/>
      <c r="H746" s="9"/>
      <c r="I746" s="9"/>
      <c r="J746" s="21"/>
      <c r="K746" s="21"/>
      <c r="Q746">
        <f>ROUND((Source!BZ652/100)*ROUND((Source!AF652*Source!AV652)*Source!I652, 2), 2)</f>
        <v>9682.2000000000007</v>
      </c>
      <c r="R746">
        <f>Source!X652</f>
        <v>9682.2000000000007</v>
      </c>
      <c r="S746">
        <f>ROUND((Source!CA652/100)*ROUND((Source!AF652*Source!AV652)*Source!I652, 2), 2)</f>
        <v>1383.17</v>
      </c>
      <c r="T746">
        <f>Source!Y652</f>
        <v>1383.17</v>
      </c>
      <c r="U746">
        <f>ROUND((175/100)*ROUND((Source!AE652*Source!AV652)*Source!I652, 2), 2)</f>
        <v>0</v>
      </c>
      <c r="V746">
        <f>ROUND((108/100)*ROUND(Source!CS652*Source!I652, 2), 2)</f>
        <v>0</v>
      </c>
    </row>
    <row r="747" spans="1:22" ht="14.25" x14ac:dyDescent="0.2">
      <c r="A747" s="18"/>
      <c r="B747" s="18"/>
      <c r="C747" s="18" t="s">
        <v>731</v>
      </c>
      <c r="D747" s="19"/>
      <c r="E747" s="9"/>
      <c r="F747" s="21">
        <f>Source!AO652</f>
        <v>493.99</v>
      </c>
      <c r="G747" s="20" t="str">
        <f>Source!DG652</f>
        <v>)*2</v>
      </c>
      <c r="H747" s="9">
        <f>Source!AV652</f>
        <v>1</v>
      </c>
      <c r="I747" s="9">
        <f>IF(Source!BA652&lt;&gt; 0, Source!BA652, 1)</f>
        <v>1</v>
      </c>
      <c r="J747" s="21">
        <f>Source!S652</f>
        <v>13831.72</v>
      </c>
      <c r="K747" s="21"/>
    </row>
    <row r="748" spans="1:22" ht="14.25" x14ac:dyDescent="0.2">
      <c r="A748" s="18"/>
      <c r="B748" s="18"/>
      <c r="C748" s="18" t="s">
        <v>733</v>
      </c>
      <c r="D748" s="19" t="s">
        <v>734</v>
      </c>
      <c r="E748" s="9">
        <f>Source!AT652</f>
        <v>70</v>
      </c>
      <c r="F748" s="21"/>
      <c r="G748" s="20"/>
      <c r="H748" s="9"/>
      <c r="I748" s="9"/>
      <c r="J748" s="21">
        <f>SUM(R746:R747)</f>
        <v>9682.2000000000007</v>
      </c>
      <c r="K748" s="21"/>
    </row>
    <row r="749" spans="1:22" ht="14.25" x14ac:dyDescent="0.2">
      <c r="A749" s="18"/>
      <c r="B749" s="18"/>
      <c r="C749" s="18" t="s">
        <v>735</v>
      </c>
      <c r="D749" s="19" t="s">
        <v>734</v>
      </c>
      <c r="E749" s="9">
        <f>Source!AU652</f>
        <v>10</v>
      </c>
      <c r="F749" s="21"/>
      <c r="G749" s="20"/>
      <c r="H749" s="9"/>
      <c r="I749" s="9"/>
      <c r="J749" s="21">
        <f>SUM(T746:T748)</f>
        <v>1383.17</v>
      </c>
      <c r="K749" s="21"/>
    </row>
    <row r="750" spans="1:22" ht="14.25" x14ac:dyDescent="0.2">
      <c r="A750" s="18"/>
      <c r="B750" s="18"/>
      <c r="C750" s="18" t="s">
        <v>736</v>
      </c>
      <c r="D750" s="19" t="s">
        <v>737</v>
      </c>
      <c r="E750" s="9">
        <f>Source!AQ652</f>
        <v>0.8</v>
      </c>
      <c r="F750" s="21"/>
      <c r="G750" s="20" t="str">
        <f>Source!DI652</f>
        <v>)*2</v>
      </c>
      <c r="H750" s="9">
        <f>Source!AV652</f>
        <v>1</v>
      </c>
      <c r="I750" s="9"/>
      <c r="J750" s="21"/>
      <c r="K750" s="21">
        <f>Source!U652</f>
        <v>22.400000000000002</v>
      </c>
    </row>
    <row r="751" spans="1:22" ht="15" x14ac:dyDescent="0.25">
      <c r="A751" s="23"/>
      <c r="B751" s="23"/>
      <c r="C751" s="23"/>
      <c r="D751" s="23"/>
      <c r="E751" s="23"/>
      <c r="F751" s="23"/>
      <c r="G751" s="23"/>
      <c r="H751" s="23"/>
      <c r="I751" s="51">
        <f>J747+J748+J749</f>
        <v>24897.089999999997</v>
      </c>
      <c r="J751" s="51"/>
      <c r="K751" s="24">
        <f>IF(Source!I652&lt;&gt;0, ROUND(I751/Source!I652, 2), 0)</f>
        <v>1778.36</v>
      </c>
      <c r="P751" s="22">
        <f>I751</f>
        <v>24897.089999999997</v>
      </c>
    </row>
    <row r="752" spans="1:22" ht="71.25" x14ac:dyDescent="0.2">
      <c r="A752" s="18">
        <v>86</v>
      </c>
      <c r="B752" s="18" t="str">
        <f>Source!F653</f>
        <v>1.23-2103-9-8/1</v>
      </c>
      <c r="C752" s="18" t="str">
        <f>Source!G653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D752" s="19" t="str">
        <f>Source!H653</f>
        <v>шт.</v>
      </c>
      <c r="E752" s="9">
        <f>Source!I653</f>
        <v>2</v>
      </c>
      <c r="F752" s="21"/>
      <c r="G752" s="20"/>
      <c r="H752" s="9"/>
      <c r="I752" s="9"/>
      <c r="J752" s="21"/>
      <c r="K752" s="21"/>
      <c r="Q752">
        <f>ROUND((Source!BZ653/100)*ROUND((Source!AF653*Source!AV653)*Source!I653, 2), 2)</f>
        <v>1417.75</v>
      </c>
      <c r="R752">
        <f>Source!X653</f>
        <v>1417.75</v>
      </c>
      <c r="S752">
        <f>ROUND((Source!CA653/100)*ROUND((Source!AF653*Source!AV653)*Source!I653, 2), 2)</f>
        <v>202.54</v>
      </c>
      <c r="T752">
        <f>Source!Y653</f>
        <v>202.54</v>
      </c>
      <c r="U752">
        <f>ROUND((175/100)*ROUND((Source!AE653*Source!AV653)*Source!I653, 2), 2)</f>
        <v>0</v>
      </c>
      <c r="V752">
        <f>ROUND((108/100)*ROUND(Source!CS653*Source!I653, 2), 2)</f>
        <v>0</v>
      </c>
    </row>
    <row r="753" spans="1:22" ht="14.25" x14ac:dyDescent="0.2">
      <c r="A753" s="18"/>
      <c r="B753" s="18"/>
      <c r="C753" s="18" t="s">
        <v>731</v>
      </c>
      <c r="D753" s="19"/>
      <c r="E753" s="9"/>
      <c r="F753" s="21">
        <f>Source!AO653</f>
        <v>506.34</v>
      </c>
      <c r="G753" s="20" t="str">
        <f>Source!DG653</f>
        <v>)*2</v>
      </c>
      <c r="H753" s="9">
        <f>Source!AV653</f>
        <v>1</v>
      </c>
      <c r="I753" s="9">
        <f>IF(Source!BA653&lt;&gt; 0, Source!BA653, 1)</f>
        <v>1</v>
      </c>
      <c r="J753" s="21">
        <f>Source!S653</f>
        <v>2025.36</v>
      </c>
      <c r="K753" s="21"/>
    </row>
    <row r="754" spans="1:22" ht="14.25" x14ac:dyDescent="0.2">
      <c r="A754" s="18"/>
      <c r="B754" s="18"/>
      <c r="C754" s="18" t="s">
        <v>733</v>
      </c>
      <c r="D754" s="19" t="s">
        <v>734</v>
      </c>
      <c r="E754" s="9">
        <f>Source!AT653</f>
        <v>70</v>
      </c>
      <c r="F754" s="21"/>
      <c r="G754" s="20"/>
      <c r="H754" s="9"/>
      <c r="I754" s="9"/>
      <c r="J754" s="21">
        <f>SUM(R752:R753)</f>
        <v>1417.75</v>
      </c>
      <c r="K754" s="21"/>
    </row>
    <row r="755" spans="1:22" ht="14.25" x14ac:dyDescent="0.2">
      <c r="A755" s="18"/>
      <c r="B755" s="18"/>
      <c r="C755" s="18" t="s">
        <v>735</v>
      </c>
      <c r="D755" s="19" t="s">
        <v>734</v>
      </c>
      <c r="E755" s="9">
        <f>Source!AU653</f>
        <v>10</v>
      </c>
      <c r="F755" s="21"/>
      <c r="G755" s="20"/>
      <c r="H755" s="9"/>
      <c r="I755" s="9"/>
      <c r="J755" s="21">
        <f>SUM(T752:T754)</f>
        <v>202.54</v>
      </c>
      <c r="K755" s="21"/>
    </row>
    <row r="756" spans="1:22" ht="14.25" x14ac:dyDescent="0.2">
      <c r="A756" s="18"/>
      <c r="B756" s="18"/>
      <c r="C756" s="18" t="s">
        <v>736</v>
      </c>
      <c r="D756" s="19" t="s">
        <v>737</v>
      </c>
      <c r="E756" s="9">
        <f>Source!AQ653</f>
        <v>0.82</v>
      </c>
      <c r="F756" s="21"/>
      <c r="G756" s="20" t="str">
        <f>Source!DI653</f>
        <v>)*2</v>
      </c>
      <c r="H756" s="9">
        <f>Source!AV653</f>
        <v>1</v>
      </c>
      <c r="I756" s="9"/>
      <c r="J756" s="21"/>
      <c r="K756" s="21">
        <f>Source!U653</f>
        <v>3.28</v>
      </c>
    </row>
    <row r="757" spans="1:22" ht="15" x14ac:dyDescent="0.25">
      <c r="A757" s="23"/>
      <c r="B757" s="23"/>
      <c r="C757" s="23"/>
      <c r="D757" s="23"/>
      <c r="E757" s="23"/>
      <c r="F757" s="23"/>
      <c r="G757" s="23"/>
      <c r="H757" s="23"/>
      <c r="I757" s="51">
        <f>J753+J754+J755</f>
        <v>3645.6499999999996</v>
      </c>
      <c r="J757" s="51"/>
      <c r="K757" s="24">
        <f>IF(Source!I653&lt;&gt;0, ROUND(I757/Source!I653, 2), 0)</f>
        <v>1822.83</v>
      </c>
      <c r="P757" s="22">
        <f>I757</f>
        <v>3645.6499999999996</v>
      </c>
    </row>
    <row r="758" spans="1:22" ht="28.5" x14ac:dyDescent="0.2">
      <c r="A758" s="18">
        <v>87</v>
      </c>
      <c r="B758" s="18" t="str">
        <f>Source!F654</f>
        <v>1.22-2103-2-1/1</v>
      </c>
      <c r="C758" s="18" t="str">
        <f>Source!G654</f>
        <v>Техническое обслуживание сетевой линии связи</v>
      </c>
      <c r="D758" s="19" t="str">
        <f>Source!H654</f>
        <v>100 м</v>
      </c>
      <c r="E758" s="9">
        <f>Source!I654</f>
        <v>4.71</v>
      </c>
      <c r="F758" s="21"/>
      <c r="G758" s="20"/>
      <c r="H758" s="9"/>
      <c r="I758" s="9"/>
      <c r="J758" s="21"/>
      <c r="K758" s="21"/>
      <c r="Q758">
        <f>ROUND((Source!BZ654/100)*ROUND((Source!AF654*Source!AV654)*Source!I654, 2), 2)</f>
        <v>1637.82</v>
      </c>
      <c r="R758">
        <f>Source!X654</f>
        <v>1637.82</v>
      </c>
      <c r="S758">
        <f>ROUND((Source!CA654/100)*ROUND((Source!AF654*Source!AV654)*Source!I654, 2), 2)</f>
        <v>233.97</v>
      </c>
      <c r="T758">
        <f>Source!Y654</f>
        <v>233.97</v>
      </c>
      <c r="U758">
        <f>ROUND((175/100)*ROUND((Source!AE654*Source!AV654)*Source!I654, 2), 2)</f>
        <v>0</v>
      </c>
      <c r="V758">
        <f>ROUND((108/100)*ROUND(Source!CS654*Source!I654, 2), 2)</f>
        <v>0</v>
      </c>
    </row>
    <row r="759" spans="1:22" ht="38.25" x14ac:dyDescent="0.2">
      <c r="C759" s="25" t="str">
        <f>"Объем: "&amp;Source!I654&amp;"=(1200+"&amp;"500+"&amp;"2000+"&amp;"500+"&amp;"100+"&amp;"50+"&amp;"10+"&amp;"350)*"&amp;"0,1/"&amp;"100"</f>
        <v>Объем: 4,71=(1200+500+2000+500+100+50+10+350)*0,1/100</v>
      </c>
    </row>
    <row r="760" spans="1:22" ht="14.25" x14ac:dyDescent="0.2">
      <c r="A760" s="18"/>
      <c r="B760" s="18"/>
      <c r="C760" s="18" t="s">
        <v>731</v>
      </c>
      <c r="D760" s="19"/>
      <c r="E760" s="9"/>
      <c r="F760" s="21">
        <f>Source!AO654</f>
        <v>496.76</v>
      </c>
      <c r="G760" s="20" t="str">
        <f>Source!DG654</f>
        <v/>
      </c>
      <c r="H760" s="9">
        <f>Source!AV654</f>
        <v>1</v>
      </c>
      <c r="I760" s="9">
        <f>IF(Source!BA654&lt;&gt; 0, Source!BA654, 1)</f>
        <v>1</v>
      </c>
      <c r="J760" s="21">
        <f>Source!S654</f>
        <v>2339.7399999999998</v>
      </c>
      <c r="K760" s="21"/>
    </row>
    <row r="761" spans="1:22" ht="14.25" x14ac:dyDescent="0.2">
      <c r="A761" s="18"/>
      <c r="B761" s="18"/>
      <c r="C761" s="18" t="s">
        <v>733</v>
      </c>
      <c r="D761" s="19" t="s">
        <v>734</v>
      </c>
      <c r="E761" s="9">
        <f>Source!AT654</f>
        <v>70</v>
      </c>
      <c r="F761" s="21"/>
      <c r="G761" s="20"/>
      <c r="H761" s="9"/>
      <c r="I761" s="9"/>
      <c r="J761" s="21">
        <f>SUM(R758:R760)</f>
        <v>1637.82</v>
      </c>
      <c r="K761" s="21"/>
    </row>
    <row r="762" spans="1:22" ht="14.25" x14ac:dyDescent="0.2">
      <c r="A762" s="18"/>
      <c r="B762" s="18"/>
      <c r="C762" s="18" t="s">
        <v>735</v>
      </c>
      <c r="D762" s="19" t="s">
        <v>734</v>
      </c>
      <c r="E762" s="9">
        <f>Source!AU654</f>
        <v>10</v>
      </c>
      <c r="F762" s="21"/>
      <c r="G762" s="20"/>
      <c r="H762" s="9"/>
      <c r="I762" s="9"/>
      <c r="J762" s="21">
        <f>SUM(T758:T761)</f>
        <v>233.97</v>
      </c>
      <c r="K762" s="21"/>
    </row>
    <row r="763" spans="1:22" ht="14.25" x14ac:dyDescent="0.2">
      <c r="A763" s="18"/>
      <c r="B763" s="18"/>
      <c r="C763" s="18" t="s">
        <v>736</v>
      </c>
      <c r="D763" s="19" t="s">
        <v>737</v>
      </c>
      <c r="E763" s="9">
        <f>Source!AQ654</f>
        <v>0.7</v>
      </c>
      <c r="F763" s="21"/>
      <c r="G763" s="20" t="str">
        <f>Source!DI654</f>
        <v/>
      </c>
      <c r="H763" s="9">
        <f>Source!AV654</f>
        <v>1</v>
      </c>
      <c r="I763" s="9"/>
      <c r="J763" s="21"/>
      <c r="K763" s="21">
        <f>Source!U654</f>
        <v>3.2969999999999997</v>
      </c>
    </row>
    <row r="764" spans="1:22" ht="15" x14ac:dyDescent="0.25">
      <c r="A764" s="23"/>
      <c r="B764" s="23"/>
      <c r="C764" s="23"/>
      <c r="D764" s="23"/>
      <c r="E764" s="23"/>
      <c r="F764" s="23"/>
      <c r="G764" s="23"/>
      <c r="H764" s="23"/>
      <c r="I764" s="51">
        <f>J760+J761+J762</f>
        <v>4211.53</v>
      </c>
      <c r="J764" s="51"/>
      <c r="K764" s="24">
        <f>IF(Source!I654&lt;&gt;0, ROUND(I764/Source!I654, 2), 0)</f>
        <v>894.17</v>
      </c>
      <c r="P764" s="22">
        <f>I764</f>
        <v>4211.53</v>
      </c>
    </row>
    <row r="766" spans="1:22" ht="15" customHeight="1" x14ac:dyDescent="0.25">
      <c r="A766" s="54" t="str">
        <f>CONCATENATE("Итого по подразделу: ",IF(Source!G656&lt;&gt;"Новый подраздел", Source!G656, ""))</f>
        <v>Итого по подразделу: 5.2  Приборы и средства автоматизации</v>
      </c>
      <c r="B766" s="54"/>
      <c r="C766" s="54"/>
      <c r="D766" s="54"/>
      <c r="E766" s="54"/>
      <c r="F766" s="54"/>
      <c r="G766" s="54"/>
      <c r="H766" s="54"/>
      <c r="I766" s="53">
        <f>SUM(P686:P765)</f>
        <v>114368.64999999998</v>
      </c>
      <c r="J766" s="53"/>
      <c r="K766" s="26"/>
    </row>
    <row r="769" spans="1:11" ht="15" customHeight="1" x14ac:dyDescent="0.25">
      <c r="A769" s="54" t="str">
        <f>CONCATENATE("Итого по разделу: ",IF(Source!G686&lt;&gt;"Новый раздел", Source!G686, ""))</f>
        <v>Итого по разделу: Раздел: 5. Автоматизация комплексная</v>
      </c>
      <c r="B769" s="54"/>
      <c r="C769" s="54"/>
      <c r="D769" s="54"/>
      <c r="E769" s="54"/>
      <c r="F769" s="54"/>
      <c r="G769" s="54"/>
      <c r="H769" s="54"/>
      <c r="I769" s="53">
        <f>SUM(P646:P768)</f>
        <v>142029.83999999997</v>
      </c>
      <c r="J769" s="53"/>
      <c r="K769" s="26"/>
    </row>
    <row r="772" spans="1:11" ht="15" customHeight="1" x14ac:dyDescent="0.25">
      <c r="A772" s="54" t="str">
        <f>CONCATENATE("Итого по локальной смете: ",IF(Source!G716&lt;&gt;"Новая локальная смета", Source!G716, ""))</f>
        <v>Итого по локальной смете: 1.1 Киносклад</v>
      </c>
      <c r="B772" s="54"/>
      <c r="C772" s="54"/>
      <c r="D772" s="54"/>
      <c r="E772" s="54"/>
      <c r="F772" s="54"/>
      <c r="G772" s="54"/>
      <c r="H772" s="54"/>
      <c r="I772" s="53">
        <f>SUM(P32:P771)</f>
        <v>1250164.73</v>
      </c>
      <c r="J772" s="53"/>
      <c r="K772" s="26"/>
    </row>
    <row r="775" spans="1:11" ht="15" customHeight="1" x14ac:dyDescent="0.25">
      <c r="A775" s="54" t="str">
        <f>CONCATENATE("Итого по смете: ",IF(Source!G746&lt;&gt;"Новый объект", Source!G746, ""))</f>
        <v>Итого по смете: СН_1.1_на 4 месяца (10%)</v>
      </c>
      <c r="B775" s="54"/>
      <c r="C775" s="54"/>
      <c r="D775" s="54"/>
      <c r="E775" s="54"/>
      <c r="F775" s="54"/>
      <c r="G775" s="54"/>
      <c r="H775" s="54"/>
      <c r="I775" s="53">
        <f>SUM(P1:P774)</f>
        <v>1250164.73</v>
      </c>
      <c r="J775" s="53"/>
      <c r="K775" s="26"/>
    </row>
    <row r="776" spans="1:11" ht="14.25" x14ac:dyDescent="0.2">
      <c r="C776" s="38" t="str">
        <f>Source!H775</f>
        <v>Итого</v>
      </c>
      <c r="D776" s="38"/>
      <c r="E776" s="38"/>
      <c r="F776" s="38"/>
      <c r="G776" s="38"/>
      <c r="H776" s="38"/>
      <c r="I776" s="45">
        <f>IF(Source!F775=0, "", Source!F775)</f>
        <v>1250164.73</v>
      </c>
      <c r="J776" s="45"/>
    </row>
    <row r="777" spans="1:11" ht="14.25" x14ac:dyDescent="0.2">
      <c r="C777" s="38" t="str">
        <f>Source!H776</f>
        <v>НДС, 22%</v>
      </c>
      <c r="D777" s="38"/>
      <c r="E777" s="38"/>
      <c r="F777" s="38"/>
      <c r="G777" s="38"/>
      <c r="H777" s="38"/>
      <c r="I777" s="45">
        <f>IF(Source!F776=0, "", Source!F776)</f>
        <v>275036.24</v>
      </c>
      <c r="J777" s="45"/>
    </row>
    <row r="778" spans="1:11" ht="14.25" x14ac:dyDescent="0.2">
      <c r="C778" s="38" t="str">
        <f>Source!H777</f>
        <v>Всего с НДС</v>
      </c>
      <c r="D778" s="38"/>
      <c r="E778" s="38"/>
      <c r="F778" s="38"/>
      <c r="G778" s="38"/>
      <c r="H778" s="38"/>
      <c r="I778" s="45">
        <f>IF(Source!F777=0, "", Source!F777)</f>
        <v>1525200.97</v>
      </c>
      <c r="J778" s="45"/>
    </row>
    <row r="781" spans="1:11" ht="14.25" x14ac:dyDescent="0.2">
      <c r="A781" s="55" t="s">
        <v>747</v>
      </c>
      <c r="B781" s="55"/>
      <c r="C781" s="29" t="str">
        <f>IF(Source!AC12&lt;&gt;"", Source!AC12," ")</f>
        <v xml:space="preserve"> </v>
      </c>
      <c r="D781" s="29"/>
      <c r="E781" s="29"/>
      <c r="F781" s="29"/>
      <c r="G781" s="29"/>
      <c r="H781" s="10" t="str">
        <f>IF(Source!AB12&lt;&gt;"", Source!AB12," ")</f>
        <v xml:space="preserve"> </v>
      </c>
      <c r="I781" s="10"/>
      <c r="J781" s="10"/>
      <c r="K781" s="10"/>
    </row>
    <row r="782" spans="1:11" ht="14.25" x14ac:dyDescent="0.2">
      <c r="A782" s="10"/>
      <c r="B782" s="10"/>
      <c r="C782" s="56" t="s">
        <v>748</v>
      </c>
      <c r="D782" s="56"/>
      <c r="E782" s="56"/>
      <c r="F782" s="56"/>
      <c r="G782" s="56"/>
      <c r="H782" s="10"/>
      <c r="I782" s="10"/>
      <c r="J782" s="10"/>
      <c r="K782" s="10"/>
    </row>
    <row r="783" spans="1:11" ht="14.25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</row>
    <row r="784" spans="1:11" ht="14.25" x14ac:dyDescent="0.2">
      <c r="A784" s="55" t="s">
        <v>749</v>
      </c>
      <c r="B784" s="55"/>
      <c r="C784" s="29" t="str">
        <f>IF(Source!AE12&lt;&gt;"", Source!AE12," ")</f>
        <v xml:space="preserve"> </v>
      </c>
      <c r="D784" s="29"/>
      <c r="E784" s="29"/>
      <c r="F784" s="29"/>
      <c r="G784" s="29"/>
      <c r="H784" s="10" t="str">
        <f>IF(Source!AD12&lt;&gt;"", Source!AD12," ")</f>
        <v xml:space="preserve"> </v>
      </c>
      <c r="I784" s="10"/>
      <c r="J784" s="10"/>
      <c r="K784" s="10"/>
    </row>
    <row r="785" spans="1:11" ht="14.25" x14ac:dyDescent="0.2">
      <c r="A785" s="10"/>
      <c r="B785" s="10"/>
      <c r="C785" s="56" t="s">
        <v>748</v>
      </c>
      <c r="D785" s="56"/>
      <c r="E785" s="56"/>
      <c r="F785" s="56"/>
      <c r="G785" s="56"/>
      <c r="H785" s="10"/>
      <c r="I785" s="10"/>
      <c r="J785" s="10"/>
      <c r="K785" s="10"/>
    </row>
  </sheetData>
  <mergeCells count="189">
    <mergeCell ref="A784:B784"/>
    <mergeCell ref="C785:G785"/>
    <mergeCell ref="C777:H777"/>
    <mergeCell ref="I777:J777"/>
    <mergeCell ref="C778:H778"/>
    <mergeCell ref="I778:J778"/>
    <mergeCell ref="A781:B781"/>
    <mergeCell ref="C782:G782"/>
    <mergeCell ref="I772:J772"/>
    <mergeCell ref="A772:H772"/>
    <mergeCell ref="I775:J775"/>
    <mergeCell ref="A775:H775"/>
    <mergeCell ref="C776:H776"/>
    <mergeCell ref="I776:J776"/>
    <mergeCell ref="I757:J757"/>
    <mergeCell ref="I764:J764"/>
    <mergeCell ref="I766:J766"/>
    <mergeCell ref="A766:H766"/>
    <mergeCell ref="I769:J769"/>
    <mergeCell ref="A769:H769"/>
    <mergeCell ref="I714:J714"/>
    <mergeCell ref="I721:J721"/>
    <mergeCell ref="I728:J728"/>
    <mergeCell ref="I738:J738"/>
    <mergeCell ref="I745:J745"/>
    <mergeCell ref="I751:J751"/>
    <mergeCell ref="I683:J683"/>
    <mergeCell ref="A683:H683"/>
    <mergeCell ref="A686:K686"/>
    <mergeCell ref="I692:J692"/>
    <mergeCell ref="I700:J700"/>
    <mergeCell ref="I707:J707"/>
    <mergeCell ref="A648:K648"/>
    <mergeCell ref="I654:J654"/>
    <mergeCell ref="I660:J660"/>
    <mergeCell ref="I667:J667"/>
    <mergeCell ref="I674:J674"/>
    <mergeCell ref="I681:J681"/>
    <mergeCell ref="I638:J638"/>
    <mergeCell ref="I640:J640"/>
    <mergeCell ref="A640:H640"/>
    <mergeCell ref="I643:J643"/>
    <mergeCell ref="A643:H643"/>
    <mergeCell ref="A646:K646"/>
    <mergeCell ref="I606:J606"/>
    <mergeCell ref="A606:H606"/>
    <mergeCell ref="A609:K609"/>
    <mergeCell ref="I616:J616"/>
    <mergeCell ref="I624:J624"/>
    <mergeCell ref="I631:J631"/>
    <mergeCell ref="I583:J583"/>
    <mergeCell ref="I591:J591"/>
    <mergeCell ref="I593:J593"/>
    <mergeCell ref="A593:H593"/>
    <mergeCell ref="A596:K596"/>
    <mergeCell ref="I604:J604"/>
    <mergeCell ref="I546:J546"/>
    <mergeCell ref="I554:J554"/>
    <mergeCell ref="I562:J562"/>
    <mergeCell ref="B564:J564"/>
    <mergeCell ref="I570:J570"/>
    <mergeCell ref="I576:J576"/>
    <mergeCell ref="A503:H503"/>
    <mergeCell ref="A506:K506"/>
    <mergeCell ref="I514:J514"/>
    <mergeCell ref="I522:J522"/>
    <mergeCell ref="I530:J530"/>
    <mergeCell ref="I538:J538"/>
    <mergeCell ref="I469:J469"/>
    <mergeCell ref="I477:J477"/>
    <mergeCell ref="I485:J485"/>
    <mergeCell ref="I493:J493"/>
    <mergeCell ref="I501:J501"/>
    <mergeCell ref="I503:J503"/>
    <mergeCell ref="I453:J453"/>
    <mergeCell ref="A453:H453"/>
    <mergeCell ref="A456:K456"/>
    <mergeCell ref="I458:J458"/>
    <mergeCell ref="A458:H458"/>
    <mergeCell ref="A461:K461"/>
    <mergeCell ref="I415:J415"/>
    <mergeCell ref="I423:J423"/>
    <mergeCell ref="I430:J430"/>
    <mergeCell ref="I436:J436"/>
    <mergeCell ref="I443:J443"/>
    <mergeCell ref="I451:J451"/>
    <mergeCell ref="I389:J389"/>
    <mergeCell ref="A389:H389"/>
    <mergeCell ref="A392:K392"/>
    <mergeCell ref="A394:K394"/>
    <mergeCell ref="I401:J401"/>
    <mergeCell ref="I408:J408"/>
    <mergeCell ref="A343:K343"/>
    <mergeCell ref="I353:J353"/>
    <mergeCell ref="I363:J363"/>
    <mergeCell ref="I370:J370"/>
    <mergeCell ref="I377:J377"/>
    <mergeCell ref="I387:J387"/>
    <mergeCell ref="I319:J319"/>
    <mergeCell ref="I328:J328"/>
    <mergeCell ref="I335:J335"/>
    <mergeCell ref="I337:J337"/>
    <mergeCell ref="A337:H337"/>
    <mergeCell ref="I340:J340"/>
    <mergeCell ref="A340:H340"/>
    <mergeCell ref="I273:J273"/>
    <mergeCell ref="I280:J280"/>
    <mergeCell ref="I287:J287"/>
    <mergeCell ref="I297:J297"/>
    <mergeCell ref="I304:J304"/>
    <mergeCell ref="I311:J311"/>
    <mergeCell ref="I232:J232"/>
    <mergeCell ref="I239:J239"/>
    <mergeCell ref="I248:J248"/>
    <mergeCell ref="B250:J250"/>
    <mergeCell ref="I259:J259"/>
    <mergeCell ref="I265:J265"/>
    <mergeCell ref="I187:J187"/>
    <mergeCell ref="I193:J193"/>
    <mergeCell ref="I200:J200"/>
    <mergeCell ref="I210:J210"/>
    <mergeCell ref="I217:J217"/>
    <mergeCell ref="I224:J224"/>
    <mergeCell ref="I145:J145"/>
    <mergeCell ref="I154:J154"/>
    <mergeCell ref="I161:J161"/>
    <mergeCell ref="B163:J163"/>
    <mergeCell ref="I170:J170"/>
    <mergeCell ref="I178:J178"/>
    <mergeCell ref="I106:J106"/>
    <mergeCell ref="I114:J114"/>
    <mergeCell ref="B116:J116"/>
    <mergeCell ref="I123:J123"/>
    <mergeCell ref="I130:J130"/>
    <mergeCell ref="I138:J138"/>
    <mergeCell ref="A71:K71"/>
    <mergeCell ref="B73:J73"/>
    <mergeCell ref="I79:J79"/>
    <mergeCell ref="I86:J86"/>
    <mergeCell ref="I93:J93"/>
    <mergeCell ref="I99:J99"/>
    <mergeCell ref="I50:J50"/>
    <mergeCell ref="A50:H50"/>
    <mergeCell ref="A53:K53"/>
    <mergeCell ref="A55:K55"/>
    <mergeCell ref="I66:J66"/>
    <mergeCell ref="I68:J68"/>
    <mergeCell ref="A68:H68"/>
    <mergeCell ref="I27:I29"/>
    <mergeCell ref="J27:J29"/>
    <mergeCell ref="A32:K32"/>
    <mergeCell ref="A34:K34"/>
    <mergeCell ref="I41:J41"/>
    <mergeCell ref="I48:J48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91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6"/>
      <c r="D2" s="26"/>
      <c r="E2" s="26"/>
      <c r="F2" s="10"/>
      <c r="G2" s="10"/>
      <c r="H2" s="10"/>
      <c r="I2" s="57" t="s">
        <v>750</v>
      </c>
      <c r="J2" s="57"/>
      <c r="K2" s="57"/>
      <c r="L2" s="57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57" t="s">
        <v>751</v>
      </c>
      <c r="J3" s="57"/>
      <c r="K3" s="57"/>
      <c r="L3" s="57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57" t="s">
        <v>752</v>
      </c>
      <c r="J4" s="57"/>
      <c r="K4" s="57"/>
      <c r="L4" s="57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58" t="s">
        <v>753</v>
      </c>
      <c r="K6" s="58"/>
      <c r="L6" s="58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754</v>
      </c>
      <c r="J7" s="59" t="s">
        <v>755</v>
      </c>
      <c r="K7" s="59"/>
      <c r="L7" s="59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58" t="str">
        <f>IF(Source!AT15 &lt;&gt; "", Source!AT15, "")</f>
        <v/>
      </c>
      <c r="K8" s="58"/>
      <c r="L8" s="58"/>
    </row>
    <row r="9" spans="1:12" ht="14.25" x14ac:dyDescent="0.2">
      <c r="A9" s="10" t="s">
        <v>756</v>
      </c>
      <c r="B9" s="10"/>
      <c r="C9" s="60" t="str">
        <f>IF(Source!BA15 &lt;&gt; "", Source!BA15, IF(Source!AU15 &lt;&gt; "", Source!AU15, ""))</f>
        <v/>
      </c>
      <c r="D9" s="60"/>
      <c r="E9" s="60"/>
      <c r="F9" s="60"/>
      <c r="G9" s="60"/>
      <c r="H9" s="60"/>
      <c r="I9" s="9" t="s">
        <v>757</v>
      </c>
      <c r="J9" s="58"/>
      <c r="K9" s="58"/>
      <c r="L9" s="58"/>
    </row>
    <row r="10" spans="1:12" ht="14.25" x14ac:dyDescent="0.2">
      <c r="A10" s="10"/>
      <c r="B10" s="10"/>
      <c r="C10" s="56" t="s">
        <v>758</v>
      </c>
      <c r="D10" s="56"/>
      <c r="E10" s="56"/>
      <c r="F10" s="56"/>
      <c r="G10" s="56"/>
      <c r="H10" s="56"/>
      <c r="I10" s="10"/>
      <c r="J10" s="58" t="str">
        <f>IF(Source!AK15 &lt;&gt; "", Source!AK15, "")</f>
        <v/>
      </c>
      <c r="K10" s="58"/>
      <c r="L10" s="58"/>
    </row>
    <row r="11" spans="1:12" ht="14.25" x14ac:dyDescent="0.2">
      <c r="A11" s="10" t="s">
        <v>759</v>
      </c>
      <c r="B11" s="10"/>
      <c r="C11" s="60" t="str">
        <f>IF(Source!AX12&lt;&gt; "", Source!AX12, IF(Source!AJ12 &lt;&gt; "", Source!AJ12, ""))</f>
        <v/>
      </c>
      <c r="D11" s="60"/>
      <c r="E11" s="60"/>
      <c r="F11" s="60"/>
      <c r="G11" s="60"/>
      <c r="H11" s="60"/>
      <c r="I11" s="9" t="s">
        <v>757</v>
      </c>
      <c r="J11" s="58"/>
      <c r="K11" s="58"/>
      <c r="L11" s="58"/>
    </row>
    <row r="12" spans="1:12" ht="14.25" x14ac:dyDescent="0.2">
      <c r="A12" s="10"/>
      <c r="B12" s="10"/>
      <c r="C12" s="56" t="s">
        <v>758</v>
      </c>
      <c r="D12" s="56"/>
      <c r="E12" s="56"/>
      <c r="F12" s="56"/>
      <c r="G12" s="56"/>
      <c r="H12" s="56"/>
      <c r="I12" s="10"/>
      <c r="J12" s="58" t="str">
        <f>IF(Source!AO15 &lt;&gt; "", Source!AO15, "")</f>
        <v/>
      </c>
      <c r="K12" s="58"/>
      <c r="L12" s="58"/>
    </row>
    <row r="13" spans="1:12" ht="14.25" x14ac:dyDescent="0.2">
      <c r="A13" s="10" t="s">
        <v>760</v>
      </c>
      <c r="B13" s="10"/>
      <c r="C13" s="60" t="str">
        <f>IF(Source!AY12&lt;&gt; "", Source!AY12, IF(Source!AN12 &lt;&gt; "", Source!AN12, ""))</f>
        <v/>
      </c>
      <c r="D13" s="60"/>
      <c r="E13" s="60"/>
      <c r="F13" s="60"/>
      <c r="G13" s="60"/>
      <c r="H13" s="60"/>
      <c r="I13" s="9" t="s">
        <v>757</v>
      </c>
      <c r="J13" s="58"/>
      <c r="K13" s="58"/>
      <c r="L13" s="58"/>
    </row>
    <row r="14" spans="1:12" ht="14.25" x14ac:dyDescent="0.2">
      <c r="A14" s="10"/>
      <c r="B14" s="10"/>
      <c r="C14" s="56" t="s">
        <v>758</v>
      </c>
      <c r="D14" s="56"/>
      <c r="E14" s="56"/>
      <c r="F14" s="56"/>
      <c r="G14" s="56"/>
      <c r="H14" s="56"/>
      <c r="I14" s="10"/>
      <c r="J14" s="58" t="str">
        <f>IF(Source!CO15 &lt;&gt; "", Source!CO15, "")</f>
        <v/>
      </c>
      <c r="K14" s="58"/>
      <c r="L14" s="58"/>
    </row>
    <row r="15" spans="1:12" ht="14.25" x14ac:dyDescent="0.2">
      <c r="A15" s="10" t="s">
        <v>761</v>
      </c>
      <c r="B15" s="10"/>
      <c r="C15" s="60" t="s">
        <v>5</v>
      </c>
      <c r="D15" s="60"/>
      <c r="E15" s="60"/>
      <c r="F15" s="60"/>
      <c r="G15" s="60"/>
      <c r="H15" s="60"/>
      <c r="I15" s="10"/>
      <c r="J15" s="58"/>
      <c r="K15" s="58"/>
      <c r="L15" s="58"/>
    </row>
    <row r="16" spans="1:12" ht="14.25" x14ac:dyDescent="0.2">
      <c r="A16" s="10"/>
      <c r="B16" s="10"/>
      <c r="C16" s="56" t="s">
        <v>762</v>
      </c>
      <c r="D16" s="56"/>
      <c r="E16" s="56"/>
      <c r="F16" s="56"/>
      <c r="G16" s="56"/>
      <c r="H16" s="56"/>
      <c r="I16" s="10"/>
      <c r="J16" s="58" t="str">
        <f>IF(Source!CP15 &lt;&gt; "", Source!CP15, "")</f>
        <v/>
      </c>
      <c r="K16" s="58"/>
      <c r="L16" s="58"/>
    </row>
    <row r="17" spans="1:12" ht="14.25" x14ac:dyDescent="0.2">
      <c r="A17" s="10" t="s">
        <v>763</v>
      </c>
      <c r="B17" s="10"/>
      <c r="C17" s="38" t="str">
        <f>IF(Source!G12&lt;&gt;"Новый объект", Source!G12, "")</f>
        <v>СН_1.1_на 4 месяца (10%)</v>
      </c>
      <c r="D17" s="38"/>
      <c r="E17" s="38"/>
      <c r="F17" s="38"/>
      <c r="G17" s="38"/>
      <c r="H17" s="38"/>
      <c r="I17" s="10"/>
      <c r="J17" s="58"/>
      <c r="K17" s="58"/>
      <c r="L17" s="58"/>
    </row>
    <row r="18" spans="1:12" ht="14.25" x14ac:dyDescent="0.2">
      <c r="A18" s="10"/>
      <c r="B18" s="10"/>
      <c r="C18" s="56" t="s">
        <v>764</v>
      </c>
      <c r="D18" s="56"/>
      <c r="E18" s="56"/>
      <c r="F18" s="56"/>
      <c r="G18" s="56"/>
      <c r="H18" s="56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39" t="s">
        <v>765</v>
      </c>
      <c r="H19" s="39"/>
      <c r="I19" s="39"/>
      <c r="J19" s="58" t="str">
        <f>IF(Source!CQ15 &lt;&gt; "", Source!CQ15, "")</f>
        <v/>
      </c>
      <c r="K19" s="58"/>
      <c r="L19" s="58"/>
    </row>
    <row r="20" spans="1:12" ht="14.25" x14ac:dyDescent="0.2">
      <c r="A20" s="10"/>
      <c r="B20" s="10"/>
      <c r="C20" s="10"/>
      <c r="D20" s="10"/>
      <c r="E20" s="10"/>
      <c r="F20" s="10"/>
      <c r="G20" s="39" t="s">
        <v>766</v>
      </c>
      <c r="H20" s="67"/>
      <c r="I20" s="30" t="s">
        <v>767</v>
      </c>
      <c r="J20" s="58" t="str">
        <f>IF(Source!CR15 &lt;&gt; "", Source!CR15, "")</f>
        <v/>
      </c>
      <c r="K20" s="58"/>
      <c r="L20" s="58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768</v>
      </c>
      <c r="J21" s="68" t="str">
        <f>IF(Source!CS15 &lt;&gt; 0, Source!CS15, "")</f>
        <v/>
      </c>
      <c r="K21" s="68"/>
      <c r="L21" s="68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769</v>
      </c>
      <c r="J22" s="58" t="str">
        <f>IF(Source!CT15 &lt;&gt; "", Source!CT15, "")</f>
        <v/>
      </c>
      <c r="K22" s="58"/>
      <c r="L22" s="58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1" t="s">
        <v>770</v>
      </c>
      <c r="H24" s="63" t="s">
        <v>771</v>
      </c>
      <c r="I24" s="63" t="s">
        <v>772</v>
      </c>
      <c r="J24" s="65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2"/>
      <c r="H25" s="64"/>
      <c r="I25" s="32" t="s">
        <v>773</v>
      </c>
      <c r="J25" s="33" t="s">
        <v>774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4" t="str">
        <f>IF(Source!CX15 &lt;&gt; 0, Source!CX15, "")</f>
        <v/>
      </c>
      <c r="I26" s="35" t="str">
        <f>IF(Source!CV15 &lt;&gt; 0, Source!CV15, "")</f>
        <v/>
      </c>
      <c r="J26" s="35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6" t="s">
        <v>775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2" ht="18" x14ac:dyDescent="0.25">
      <c r="A29" s="66" t="s">
        <v>776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777</v>
      </c>
      <c r="B31" s="10"/>
      <c r="C31" s="10"/>
      <c r="D31" s="10"/>
      <c r="E31" s="10"/>
      <c r="F31" s="10"/>
      <c r="G31" s="10"/>
      <c r="H31" s="69">
        <f>ROUND((Source!F774/1000), 2)</f>
        <v>1250.1600000000001</v>
      </c>
      <c r="I31" s="69"/>
      <c r="J31" s="10" t="s">
        <v>778</v>
      </c>
      <c r="K31" s="10"/>
      <c r="L31" s="10"/>
    </row>
    <row r="32" spans="1:12" ht="14.25" x14ac:dyDescent="0.2">
      <c r="A32" s="10" t="s">
        <v>730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0" t="s">
        <v>779</v>
      </c>
      <c r="B33" s="70"/>
      <c r="C33" s="47" t="s">
        <v>718</v>
      </c>
      <c r="D33" s="47" t="s">
        <v>719</v>
      </c>
      <c r="E33" s="47" t="s">
        <v>720</v>
      </c>
      <c r="F33" s="47" t="s">
        <v>721</v>
      </c>
      <c r="G33" s="47" t="s">
        <v>722</v>
      </c>
      <c r="H33" s="47" t="s">
        <v>723</v>
      </c>
      <c r="I33" s="47" t="s">
        <v>724</v>
      </c>
      <c r="J33" s="47" t="s">
        <v>725</v>
      </c>
      <c r="K33" s="47" t="s">
        <v>726</v>
      </c>
      <c r="L33" s="36" t="s">
        <v>727</v>
      </c>
    </row>
    <row r="34" spans="1:22" ht="28.5" x14ac:dyDescent="0.2">
      <c r="A34" s="72" t="s">
        <v>780</v>
      </c>
      <c r="B34" s="72" t="s">
        <v>781</v>
      </c>
      <c r="C34" s="48"/>
      <c r="D34" s="48"/>
      <c r="E34" s="48"/>
      <c r="F34" s="48"/>
      <c r="G34" s="48"/>
      <c r="H34" s="48"/>
      <c r="I34" s="48"/>
      <c r="J34" s="48"/>
      <c r="K34" s="48"/>
      <c r="L34" s="37" t="s">
        <v>728</v>
      </c>
    </row>
    <row r="35" spans="1:22" ht="28.5" x14ac:dyDescent="0.2">
      <c r="A35" s="72"/>
      <c r="B35" s="72"/>
      <c r="C35" s="48"/>
      <c r="D35" s="48"/>
      <c r="E35" s="48"/>
      <c r="F35" s="48"/>
      <c r="G35" s="48"/>
      <c r="H35" s="48"/>
      <c r="I35" s="48"/>
      <c r="J35" s="48"/>
      <c r="K35" s="48"/>
      <c r="L35" s="37" t="s">
        <v>729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50" t="str">
        <f>CONCATENATE("Локальная смета: ",IF(Source!G20&lt;&gt;"Новая локальная смета", Source!G20, ""))</f>
        <v>Локальная смета: 1.1 Киносклад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</row>
    <row r="40" spans="1:22" ht="16.5" x14ac:dyDescent="0.25">
      <c r="A40" s="50" t="str">
        <f>CONCATENATE("Раздел: ",IF(Source!G24&lt;&gt;"Новый раздел", Source!G24, ""))</f>
        <v>Раздел: Раздел: 1. Внутреннее водоснабжение и водоотведение.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</row>
    <row r="41" spans="1:22" ht="42.75" x14ac:dyDescent="0.2">
      <c r="A41" s="18">
        <v>1</v>
      </c>
      <c r="B41" s="18">
        <v>1</v>
      </c>
      <c r="C41" s="18" t="str">
        <f>Source!F32</f>
        <v>1.15-2203-9-1/1</v>
      </c>
      <c r="D41" s="18" t="str">
        <f>Source!G32</f>
        <v>Техническое обслуживание клапанов обратных фланцевых диаметром 50 мм</v>
      </c>
      <c r="E41" s="19" t="str">
        <f>Source!H32</f>
        <v>шт.</v>
      </c>
      <c r="F41" s="9">
        <f>Source!I32</f>
        <v>5</v>
      </c>
      <c r="G41" s="21"/>
      <c r="H41" s="20"/>
      <c r="I41" s="9"/>
      <c r="J41" s="9"/>
      <c r="K41" s="21"/>
      <c r="L41" s="21"/>
      <c r="Q41">
        <f>ROUND((Source!BZ32/100)*ROUND((Source!AF32*Source!AV32)*Source!I32, 2), 2)</f>
        <v>275.45</v>
      </c>
      <c r="R41">
        <f>Source!X32</f>
        <v>275.45</v>
      </c>
      <c r="S41">
        <f>ROUND((Source!CA32/100)*ROUND((Source!AF32*Source!AV32)*Source!I32, 2), 2)</f>
        <v>39.35</v>
      </c>
      <c r="T41">
        <f>Source!Y32</f>
        <v>39.35</v>
      </c>
      <c r="U41">
        <f>ROUND((175/100)*ROUND((Source!AE32*Source!AV32)*Source!I32, 2), 2)</f>
        <v>0</v>
      </c>
      <c r="V41">
        <f>ROUND((108/100)*ROUND(Source!CS32*Source!I32, 2), 2)</f>
        <v>0</v>
      </c>
    </row>
    <row r="42" spans="1:22" ht="14.25" x14ac:dyDescent="0.2">
      <c r="A42" s="18"/>
      <c r="B42" s="18"/>
      <c r="C42" s="18"/>
      <c r="D42" s="18" t="s">
        <v>731</v>
      </c>
      <c r="E42" s="19"/>
      <c r="F42" s="9"/>
      <c r="G42" s="21">
        <f>Source!AO32</f>
        <v>78.7</v>
      </c>
      <c r="H42" s="20" t="str">
        <f>Source!DG32</f>
        <v/>
      </c>
      <c r="I42" s="9">
        <f>Source!AV32</f>
        <v>1</v>
      </c>
      <c r="J42" s="9">
        <f>IF(Source!BA32&lt;&gt; 0, Source!BA32, 1)</f>
        <v>1</v>
      </c>
      <c r="K42" s="21">
        <f>Source!S32</f>
        <v>393.5</v>
      </c>
      <c r="L42" s="21"/>
    </row>
    <row r="43" spans="1:22" ht="14.25" x14ac:dyDescent="0.2">
      <c r="A43" s="18"/>
      <c r="B43" s="18"/>
      <c r="C43" s="18"/>
      <c r="D43" s="18" t="s">
        <v>732</v>
      </c>
      <c r="E43" s="19"/>
      <c r="F43" s="9"/>
      <c r="G43" s="21">
        <f>Source!AL32</f>
        <v>0.31</v>
      </c>
      <c r="H43" s="20" t="str">
        <f>Source!DD32</f>
        <v/>
      </c>
      <c r="I43" s="9">
        <f>Source!AW32</f>
        <v>1</v>
      </c>
      <c r="J43" s="9">
        <f>IF(Source!BC32&lt;&gt; 0, Source!BC32, 1)</f>
        <v>1</v>
      </c>
      <c r="K43" s="21">
        <f>Source!P32</f>
        <v>1.55</v>
      </c>
      <c r="L43" s="21"/>
    </row>
    <row r="44" spans="1:22" ht="14.25" x14ac:dyDescent="0.2">
      <c r="A44" s="18"/>
      <c r="B44" s="18"/>
      <c r="C44" s="18"/>
      <c r="D44" s="18" t="s">
        <v>733</v>
      </c>
      <c r="E44" s="19" t="s">
        <v>734</v>
      </c>
      <c r="F44" s="9">
        <f>Source!AT32</f>
        <v>70</v>
      </c>
      <c r="G44" s="21"/>
      <c r="H44" s="20"/>
      <c r="I44" s="9"/>
      <c r="J44" s="9"/>
      <c r="K44" s="21">
        <f>SUM(R41:R43)</f>
        <v>275.45</v>
      </c>
      <c r="L44" s="21"/>
    </row>
    <row r="45" spans="1:22" ht="14.25" x14ac:dyDescent="0.2">
      <c r="A45" s="18"/>
      <c r="B45" s="18"/>
      <c r="C45" s="18"/>
      <c r="D45" s="18" t="s">
        <v>735</v>
      </c>
      <c r="E45" s="19" t="s">
        <v>734</v>
      </c>
      <c r="F45" s="9">
        <f>Source!AU32</f>
        <v>10</v>
      </c>
      <c r="G45" s="21"/>
      <c r="H45" s="20"/>
      <c r="I45" s="9"/>
      <c r="J45" s="9"/>
      <c r="K45" s="21">
        <f>SUM(T41:T44)</f>
        <v>39.35</v>
      </c>
      <c r="L45" s="21"/>
    </row>
    <row r="46" spans="1:22" ht="14.25" x14ac:dyDescent="0.2">
      <c r="A46" s="18"/>
      <c r="B46" s="18"/>
      <c r="C46" s="18"/>
      <c r="D46" s="18" t="s">
        <v>736</v>
      </c>
      <c r="E46" s="19" t="s">
        <v>737</v>
      </c>
      <c r="F46" s="9">
        <f>Source!AQ32</f>
        <v>0.14000000000000001</v>
      </c>
      <c r="G46" s="21"/>
      <c r="H46" s="20" t="str">
        <f>Source!DI32</f>
        <v/>
      </c>
      <c r="I46" s="9">
        <f>Source!AV32</f>
        <v>1</v>
      </c>
      <c r="J46" s="9"/>
      <c r="K46" s="21"/>
      <c r="L46" s="21">
        <f>Source!U32</f>
        <v>0.70000000000000007</v>
      </c>
    </row>
    <row r="47" spans="1:22" ht="1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51">
        <f>K42+K43+K44+K45</f>
        <v>709.85</v>
      </c>
      <c r="K47" s="51"/>
      <c r="L47" s="24">
        <f>IF(Source!I32&lt;&gt;0, ROUND(J47/Source!I32, 2), 0)</f>
        <v>141.97</v>
      </c>
      <c r="P47" s="22">
        <f>J47</f>
        <v>709.85</v>
      </c>
    </row>
    <row r="48" spans="1:22" ht="42.75" x14ac:dyDescent="0.2">
      <c r="A48" s="18">
        <v>2</v>
      </c>
      <c r="B48" s="18">
        <v>2</v>
      </c>
      <c r="C48" s="18" t="str">
        <f>Source!F33</f>
        <v>1.15-2203-7-2/1</v>
      </c>
      <c r="D48" s="18" t="str">
        <f>Source!G33</f>
        <v>Техническое обслуживание крана шарового латунного никелированного диаметром до 50 мм</v>
      </c>
      <c r="E48" s="19" t="str">
        <f>Source!H33</f>
        <v>10 шт.</v>
      </c>
      <c r="F48" s="9">
        <f>Source!I33</f>
        <v>0.5</v>
      </c>
      <c r="G48" s="21"/>
      <c r="H48" s="20"/>
      <c r="I48" s="9"/>
      <c r="J48" s="9"/>
      <c r="K48" s="21"/>
      <c r="L48" s="21"/>
      <c r="Q48">
        <f>ROUND((Source!BZ33/100)*ROUND((Source!AF33*Source!AV33)*Source!I33, 2), 2)</f>
        <v>131.84</v>
      </c>
      <c r="R48">
        <f>Source!X33</f>
        <v>131.84</v>
      </c>
      <c r="S48">
        <f>ROUND((Source!CA33/100)*ROUND((Source!AF33*Source!AV33)*Source!I33, 2), 2)</f>
        <v>18.829999999999998</v>
      </c>
      <c r="T48">
        <f>Source!Y33</f>
        <v>18.829999999999998</v>
      </c>
      <c r="U48">
        <f>ROUND((175/100)*ROUND((Source!AE33*Source!AV33)*Source!I33, 2), 2)</f>
        <v>0</v>
      </c>
      <c r="V48">
        <f>ROUND((108/100)*ROUND(Source!CS33*Source!I33, 2), 2)</f>
        <v>0</v>
      </c>
    </row>
    <row r="49" spans="1:22" x14ac:dyDescent="0.2">
      <c r="D49" s="25" t="str">
        <f>"Объем: "&amp;Source!I33&amp;"=5/"&amp;"10"</f>
        <v>Объем: 0,5=5/10</v>
      </c>
    </row>
    <row r="50" spans="1:22" ht="14.25" x14ac:dyDescent="0.2">
      <c r="A50" s="18"/>
      <c r="B50" s="18"/>
      <c r="C50" s="18"/>
      <c r="D50" s="18" t="s">
        <v>731</v>
      </c>
      <c r="E50" s="19"/>
      <c r="F50" s="9"/>
      <c r="G50" s="21">
        <f>Source!AO33</f>
        <v>376.67</v>
      </c>
      <c r="H50" s="20" t="str">
        <f>Source!DG33</f>
        <v/>
      </c>
      <c r="I50" s="9">
        <f>Source!AV33</f>
        <v>1</v>
      </c>
      <c r="J50" s="9">
        <f>IF(Source!BA33&lt;&gt; 0, Source!BA33, 1)</f>
        <v>1</v>
      </c>
      <c r="K50" s="21">
        <f>Source!S33</f>
        <v>188.34</v>
      </c>
      <c r="L50" s="21"/>
    </row>
    <row r="51" spans="1:22" ht="14.25" x14ac:dyDescent="0.2">
      <c r="A51" s="18"/>
      <c r="B51" s="18"/>
      <c r="C51" s="18"/>
      <c r="D51" s="18" t="s">
        <v>733</v>
      </c>
      <c r="E51" s="19" t="s">
        <v>734</v>
      </c>
      <c r="F51" s="9">
        <f>Source!AT33</f>
        <v>70</v>
      </c>
      <c r="G51" s="21"/>
      <c r="H51" s="20"/>
      <c r="I51" s="9"/>
      <c r="J51" s="9"/>
      <c r="K51" s="21">
        <f>SUM(R48:R50)</f>
        <v>131.84</v>
      </c>
      <c r="L51" s="21"/>
    </row>
    <row r="52" spans="1:22" ht="14.25" x14ac:dyDescent="0.2">
      <c r="A52" s="18"/>
      <c r="B52" s="18"/>
      <c r="C52" s="18"/>
      <c r="D52" s="18" t="s">
        <v>735</v>
      </c>
      <c r="E52" s="19" t="s">
        <v>734</v>
      </c>
      <c r="F52" s="9">
        <f>Source!AU33</f>
        <v>10</v>
      </c>
      <c r="G52" s="21"/>
      <c r="H52" s="20"/>
      <c r="I52" s="9"/>
      <c r="J52" s="9"/>
      <c r="K52" s="21">
        <f>SUM(T48:T51)</f>
        <v>18.829999999999998</v>
      </c>
      <c r="L52" s="21"/>
    </row>
    <row r="53" spans="1:22" ht="14.25" x14ac:dyDescent="0.2">
      <c r="A53" s="18"/>
      <c r="B53" s="18"/>
      <c r="C53" s="18"/>
      <c r="D53" s="18" t="s">
        <v>736</v>
      </c>
      <c r="E53" s="19" t="s">
        <v>737</v>
      </c>
      <c r="F53" s="9">
        <f>Source!AQ33</f>
        <v>0.61</v>
      </c>
      <c r="G53" s="21"/>
      <c r="H53" s="20" t="str">
        <f>Source!DI33</f>
        <v/>
      </c>
      <c r="I53" s="9">
        <f>Source!AV33</f>
        <v>1</v>
      </c>
      <c r="J53" s="9"/>
      <c r="K53" s="21"/>
      <c r="L53" s="21">
        <f>Source!U33</f>
        <v>0.30499999999999999</v>
      </c>
    </row>
    <row r="54" spans="1:22" ht="1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51">
        <f>K50+K51+K52</f>
        <v>339.01</v>
      </c>
      <c r="K54" s="51"/>
      <c r="L54" s="24">
        <f>IF(Source!I33&lt;&gt;0, ROUND(J54/Source!I33, 2), 0)</f>
        <v>678.02</v>
      </c>
      <c r="P54" s="22">
        <f>J54</f>
        <v>339.01</v>
      </c>
    </row>
    <row r="56" spans="1:22" ht="15" x14ac:dyDescent="0.25">
      <c r="A56" s="54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6" s="54"/>
      <c r="C56" s="54"/>
      <c r="D56" s="54"/>
      <c r="E56" s="54"/>
      <c r="F56" s="54"/>
      <c r="G56" s="54"/>
      <c r="H56" s="54"/>
      <c r="I56" s="54"/>
      <c r="J56" s="53">
        <f>SUM(P40:P55)</f>
        <v>1048.8600000000001</v>
      </c>
      <c r="K56" s="71"/>
      <c r="L56" s="26"/>
    </row>
    <row r="59" spans="1:22" ht="16.5" x14ac:dyDescent="0.25">
      <c r="A59" s="50" t="str">
        <f>CONCATENATE("Раздел: ",IF(Source!G66&lt;&gt;"Новый раздел", Source!G66, ""))</f>
        <v>Раздел: Раздел: 2. Внутренние сети отопления и ИТП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1" spans="1:22" ht="16.5" x14ac:dyDescent="0.25">
      <c r="A61" s="50" t="str">
        <f>CONCATENATE("Подраздел: ",IF(Source!G70&lt;&gt;"Новый подраздел", Source!G70, ""))</f>
        <v>Подраздел: 2.1 Отопление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22" ht="42.75" x14ac:dyDescent="0.2">
      <c r="A62" s="18">
        <v>3</v>
      </c>
      <c r="B62" s="18">
        <v>3</v>
      </c>
      <c r="C62" s="18" t="str">
        <f>Source!F75</f>
        <v>1.17-2103-9-1/1</v>
      </c>
      <c r="D62" s="18" t="str">
        <f>Source!G75</f>
        <v>Техническое обслуживание напольных тепловентиляторов для систем на базе тепловых насосов</v>
      </c>
      <c r="E62" s="19" t="str">
        <f>Source!H75</f>
        <v>10 шт.</v>
      </c>
      <c r="F62" s="9">
        <f>Source!I75</f>
        <v>3.2</v>
      </c>
      <c r="G62" s="21"/>
      <c r="H62" s="20"/>
      <c r="I62" s="9"/>
      <c r="J62" s="9"/>
      <c r="K62" s="21"/>
      <c r="L62" s="21"/>
      <c r="Q62">
        <f>ROUND((Source!BZ75/100)*ROUND((Source!AF75*Source!AV75)*Source!I75, 2), 2)</f>
        <v>1078.58</v>
      </c>
      <c r="R62">
        <f>Source!X75</f>
        <v>1078.58</v>
      </c>
      <c r="S62">
        <f>ROUND((Source!CA75/100)*ROUND((Source!AF75*Source!AV75)*Source!I75, 2), 2)</f>
        <v>154.08000000000001</v>
      </c>
      <c r="T62">
        <f>Source!Y75</f>
        <v>154.08000000000001</v>
      </c>
      <c r="U62">
        <f>ROUND((175/100)*ROUND((Source!AE75*Source!AV75)*Source!I75, 2), 2)</f>
        <v>3423.79</v>
      </c>
      <c r="V62">
        <f>ROUND((108/100)*ROUND(Source!CS75*Source!I75, 2), 2)</f>
        <v>2112.9699999999998</v>
      </c>
    </row>
    <row r="63" spans="1:22" x14ac:dyDescent="0.2">
      <c r="D63" s="25" t="str">
        <f>"Объем: "&amp;Source!I75&amp;"=32/"&amp;"10"</f>
        <v>Объем: 3,2=32/10</v>
      </c>
    </row>
    <row r="64" spans="1:22" ht="14.25" x14ac:dyDescent="0.2">
      <c r="A64" s="18"/>
      <c r="B64" s="18"/>
      <c r="C64" s="18"/>
      <c r="D64" s="18" t="s">
        <v>731</v>
      </c>
      <c r="E64" s="19"/>
      <c r="F64" s="9"/>
      <c r="G64" s="21">
        <f>Source!AO75</f>
        <v>481.51</v>
      </c>
      <c r="H64" s="20" t="str">
        <f>Source!DG75</f>
        <v/>
      </c>
      <c r="I64" s="9">
        <f>Source!AV75</f>
        <v>1</v>
      </c>
      <c r="J64" s="9">
        <f>IF(Source!BA75&lt;&gt; 0, Source!BA75, 1)</f>
        <v>1</v>
      </c>
      <c r="K64" s="21">
        <f>Source!S75</f>
        <v>1540.83</v>
      </c>
      <c r="L64" s="21"/>
    </row>
    <row r="65" spans="1:22" ht="14.25" x14ac:dyDescent="0.2">
      <c r="A65" s="18"/>
      <c r="B65" s="18"/>
      <c r="C65" s="18"/>
      <c r="D65" s="18" t="s">
        <v>738</v>
      </c>
      <c r="E65" s="19"/>
      <c r="F65" s="9"/>
      <c r="G65" s="21">
        <f>Source!AM75</f>
        <v>964.23</v>
      </c>
      <c r="H65" s="20" t="str">
        <f>Source!DE75</f>
        <v/>
      </c>
      <c r="I65" s="9">
        <f>Source!AV75</f>
        <v>1</v>
      </c>
      <c r="J65" s="9">
        <f>IF(Source!BB75&lt;&gt; 0, Source!BB75, 1)</f>
        <v>1</v>
      </c>
      <c r="K65" s="21">
        <f>Source!Q75</f>
        <v>3085.54</v>
      </c>
      <c r="L65" s="21"/>
    </row>
    <row r="66" spans="1:22" ht="14.25" x14ac:dyDescent="0.2">
      <c r="A66" s="18"/>
      <c r="B66" s="18"/>
      <c r="C66" s="18"/>
      <c r="D66" s="18" t="s">
        <v>739</v>
      </c>
      <c r="E66" s="19"/>
      <c r="F66" s="9"/>
      <c r="G66" s="21">
        <f>Source!AN75</f>
        <v>611.39</v>
      </c>
      <c r="H66" s="20" t="str">
        <f>Source!DF75</f>
        <v/>
      </c>
      <c r="I66" s="9">
        <f>Source!AV75</f>
        <v>1</v>
      </c>
      <c r="J66" s="9">
        <f>IF(Source!BS75&lt;&gt; 0, Source!BS75, 1)</f>
        <v>1</v>
      </c>
      <c r="K66" s="27">
        <f>Source!R75</f>
        <v>1956.45</v>
      </c>
      <c r="L66" s="21"/>
    </row>
    <row r="67" spans="1:22" ht="14.25" x14ac:dyDescent="0.2">
      <c r="A67" s="18"/>
      <c r="B67" s="18"/>
      <c r="C67" s="18"/>
      <c r="D67" s="18" t="s">
        <v>732</v>
      </c>
      <c r="E67" s="19"/>
      <c r="F67" s="9"/>
      <c r="G67" s="21">
        <f>Source!AL75</f>
        <v>3.15</v>
      </c>
      <c r="H67" s="20" t="str">
        <f>Source!DD75</f>
        <v/>
      </c>
      <c r="I67" s="9">
        <f>Source!AW75</f>
        <v>1</v>
      </c>
      <c r="J67" s="9">
        <f>IF(Source!BC75&lt;&gt; 0, Source!BC75, 1)</f>
        <v>1</v>
      </c>
      <c r="K67" s="21">
        <f>Source!P75</f>
        <v>10.08</v>
      </c>
      <c r="L67" s="21"/>
    </row>
    <row r="68" spans="1:22" ht="14.25" x14ac:dyDescent="0.2">
      <c r="A68" s="18"/>
      <c r="B68" s="18"/>
      <c r="C68" s="18"/>
      <c r="D68" s="18" t="s">
        <v>733</v>
      </c>
      <c r="E68" s="19" t="s">
        <v>734</v>
      </c>
      <c r="F68" s="9">
        <f>Source!AT75</f>
        <v>70</v>
      </c>
      <c r="G68" s="21"/>
      <c r="H68" s="20"/>
      <c r="I68" s="9"/>
      <c r="J68" s="9"/>
      <c r="K68" s="21">
        <f>SUM(R62:R67)</f>
        <v>1078.58</v>
      </c>
      <c r="L68" s="21"/>
    </row>
    <row r="69" spans="1:22" ht="14.25" x14ac:dyDescent="0.2">
      <c r="A69" s="18"/>
      <c r="B69" s="18"/>
      <c r="C69" s="18"/>
      <c r="D69" s="18" t="s">
        <v>735</v>
      </c>
      <c r="E69" s="19" t="s">
        <v>734</v>
      </c>
      <c r="F69" s="9">
        <f>Source!AU75</f>
        <v>10</v>
      </c>
      <c r="G69" s="21"/>
      <c r="H69" s="20"/>
      <c r="I69" s="9"/>
      <c r="J69" s="9"/>
      <c r="K69" s="21">
        <f>SUM(T62:T68)</f>
        <v>154.08000000000001</v>
      </c>
      <c r="L69" s="21"/>
    </row>
    <row r="70" spans="1:22" ht="14.25" x14ac:dyDescent="0.2">
      <c r="A70" s="18"/>
      <c r="B70" s="18"/>
      <c r="C70" s="18"/>
      <c r="D70" s="18" t="s">
        <v>740</v>
      </c>
      <c r="E70" s="19" t="s">
        <v>734</v>
      </c>
      <c r="F70" s="9">
        <f>108</f>
        <v>108</v>
      </c>
      <c r="G70" s="21"/>
      <c r="H70" s="20"/>
      <c r="I70" s="9"/>
      <c r="J70" s="9"/>
      <c r="K70" s="21">
        <f>SUM(V62:V69)</f>
        <v>2112.9699999999998</v>
      </c>
      <c r="L70" s="21"/>
    </row>
    <row r="71" spans="1:22" ht="14.25" x14ac:dyDescent="0.2">
      <c r="A71" s="18"/>
      <c r="B71" s="18"/>
      <c r="C71" s="18"/>
      <c r="D71" s="18" t="s">
        <v>736</v>
      </c>
      <c r="E71" s="19" t="s">
        <v>737</v>
      </c>
      <c r="F71" s="9">
        <f>Source!AQ75</f>
        <v>0.95</v>
      </c>
      <c r="G71" s="21"/>
      <c r="H71" s="20" t="str">
        <f>Source!DI75</f>
        <v/>
      </c>
      <c r="I71" s="9">
        <f>Source!AV75</f>
        <v>1</v>
      </c>
      <c r="J71" s="9"/>
      <c r="K71" s="21"/>
      <c r="L71" s="21">
        <f>Source!U75</f>
        <v>3.04</v>
      </c>
    </row>
    <row r="72" spans="1:22" ht="1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51">
        <f>K64+K65+K67+K68+K69+K70</f>
        <v>7982.08</v>
      </c>
      <c r="K72" s="51"/>
      <c r="L72" s="24">
        <f>IF(Source!I75&lt;&gt;0, ROUND(J72/Source!I75, 2), 0)</f>
        <v>2494.4</v>
      </c>
      <c r="P72" s="22">
        <f>J72</f>
        <v>7982.08</v>
      </c>
    </row>
    <row r="74" spans="1:22" ht="15" x14ac:dyDescent="0.25">
      <c r="A74" s="54" t="str">
        <f>CONCATENATE("Итого по подразделу: ",IF(Source!G77&lt;&gt;"Новый подраздел", Source!G77, ""))</f>
        <v>Итого по подразделу: 2.1 Отопление</v>
      </c>
      <c r="B74" s="54"/>
      <c r="C74" s="54"/>
      <c r="D74" s="54"/>
      <c r="E74" s="54"/>
      <c r="F74" s="54"/>
      <c r="G74" s="54"/>
      <c r="H74" s="54"/>
      <c r="I74" s="54"/>
      <c r="J74" s="53">
        <f>SUM(P61:P73)</f>
        <v>7982.08</v>
      </c>
      <c r="K74" s="71"/>
      <c r="L74" s="26"/>
    </row>
    <row r="77" spans="1:22" ht="16.5" x14ac:dyDescent="0.25">
      <c r="A77" s="50" t="str">
        <f>CONCATENATE("Подраздел: ",IF(Source!G107&lt;&gt;"Новый подраздел", Source!G107, ""))</f>
        <v>Подраздел: 2.2 Индивидуальный тепловой пункт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</row>
    <row r="79" spans="1:22" ht="15" x14ac:dyDescent="0.25">
      <c r="C79" s="52" t="str">
        <f>Source!G111</f>
        <v>Индивидуальный тепловой пункт Автоматизация узла учета тепла</v>
      </c>
      <c r="D79" s="52"/>
      <c r="E79" s="52"/>
      <c r="F79" s="52"/>
      <c r="G79" s="52"/>
      <c r="H79" s="52"/>
      <c r="I79" s="52"/>
      <c r="J79" s="52"/>
      <c r="K79" s="52"/>
    </row>
    <row r="80" spans="1:22" ht="99.75" x14ac:dyDescent="0.2">
      <c r="A80" s="18">
        <v>4</v>
      </c>
      <c r="B80" s="18">
        <v>4</v>
      </c>
      <c r="C80" s="18" t="str">
        <f>Source!F112</f>
        <v>1.23-2303-5-1/1</v>
      </c>
      <c r="D80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E80" s="19" t="str">
        <f>Source!H112</f>
        <v>шт.</v>
      </c>
      <c r="F80" s="9">
        <f>Source!I112</f>
        <v>1</v>
      </c>
      <c r="G80" s="21"/>
      <c r="H80" s="20"/>
      <c r="I80" s="9"/>
      <c r="J80" s="9"/>
      <c r="K80" s="21"/>
      <c r="L80" s="21"/>
      <c r="Q80">
        <f>ROUND((Source!BZ112/100)*ROUND((Source!AF112*Source!AV112)*Source!I112, 2), 2)</f>
        <v>1142.04</v>
      </c>
      <c r="R80">
        <f>Source!X112</f>
        <v>1142.04</v>
      </c>
      <c r="S80">
        <f>ROUND((Source!CA112/100)*ROUND((Source!AF112*Source!AV112)*Source!I112, 2), 2)</f>
        <v>163.15</v>
      </c>
      <c r="T80">
        <f>Source!Y112</f>
        <v>163.15</v>
      </c>
      <c r="U80">
        <f>ROUND((175/100)*ROUND((Source!AE112*Source!AV112)*Source!I112, 2), 2)</f>
        <v>0</v>
      </c>
      <c r="V80">
        <f>ROUND((108/100)*ROUND(Source!CS112*Source!I112, 2), 2)</f>
        <v>0</v>
      </c>
    </row>
    <row r="81" spans="1:22" ht="14.25" x14ac:dyDescent="0.2">
      <c r="A81" s="18"/>
      <c r="B81" s="18"/>
      <c r="C81" s="18"/>
      <c r="D81" s="18" t="s">
        <v>731</v>
      </c>
      <c r="E81" s="19"/>
      <c r="F81" s="9"/>
      <c r="G81" s="21">
        <f>Source!AO112</f>
        <v>815.74</v>
      </c>
      <c r="H81" s="20" t="str">
        <f>Source!DG112</f>
        <v>)*2</v>
      </c>
      <c r="I81" s="9">
        <f>Source!AV112</f>
        <v>1</v>
      </c>
      <c r="J81" s="9">
        <f>IF(Source!BA112&lt;&gt; 0, Source!BA112, 1)</f>
        <v>1</v>
      </c>
      <c r="K81" s="21">
        <f>Source!S112</f>
        <v>1631.48</v>
      </c>
      <c r="L81" s="21"/>
    </row>
    <row r="82" spans="1:22" ht="14.25" x14ac:dyDescent="0.2">
      <c r="A82" s="18"/>
      <c r="B82" s="18"/>
      <c r="C82" s="18"/>
      <c r="D82" s="18" t="s">
        <v>733</v>
      </c>
      <c r="E82" s="19" t="s">
        <v>734</v>
      </c>
      <c r="F82" s="9">
        <f>Source!AT112</f>
        <v>70</v>
      </c>
      <c r="G82" s="21"/>
      <c r="H82" s="20"/>
      <c r="I82" s="9"/>
      <c r="J82" s="9"/>
      <c r="K82" s="21">
        <f>SUM(R80:R81)</f>
        <v>1142.04</v>
      </c>
      <c r="L82" s="21"/>
    </row>
    <row r="83" spans="1:22" ht="14.25" x14ac:dyDescent="0.2">
      <c r="A83" s="18"/>
      <c r="B83" s="18"/>
      <c r="C83" s="18"/>
      <c r="D83" s="18" t="s">
        <v>735</v>
      </c>
      <c r="E83" s="19" t="s">
        <v>734</v>
      </c>
      <c r="F83" s="9">
        <f>Source!AU112</f>
        <v>10</v>
      </c>
      <c r="G83" s="21"/>
      <c r="H83" s="20"/>
      <c r="I83" s="9"/>
      <c r="J83" s="9"/>
      <c r="K83" s="21">
        <f>SUM(T80:T82)</f>
        <v>163.15</v>
      </c>
      <c r="L83" s="21"/>
    </row>
    <row r="84" spans="1:22" ht="14.25" x14ac:dyDescent="0.2">
      <c r="A84" s="18"/>
      <c r="B84" s="18"/>
      <c r="C84" s="18"/>
      <c r="D84" s="18" t="s">
        <v>736</v>
      </c>
      <c r="E84" s="19" t="s">
        <v>737</v>
      </c>
      <c r="F84" s="9">
        <f>Source!AQ112</f>
        <v>1.06</v>
      </c>
      <c r="G84" s="21"/>
      <c r="H84" s="20" t="str">
        <f>Source!DI112</f>
        <v>)*2</v>
      </c>
      <c r="I84" s="9">
        <f>Source!AV112</f>
        <v>1</v>
      </c>
      <c r="J84" s="9"/>
      <c r="K84" s="21"/>
      <c r="L84" s="21">
        <f>Source!U112</f>
        <v>2.12</v>
      </c>
    </row>
    <row r="85" spans="1:22" ht="1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51">
        <f>K81+K82+K83</f>
        <v>2936.67</v>
      </c>
      <c r="K85" s="51"/>
      <c r="L85" s="24">
        <f>IF(Source!I112&lt;&gt;0, ROUND(J85/Source!I112, 2), 0)</f>
        <v>2936.67</v>
      </c>
      <c r="P85" s="22">
        <f>J85</f>
        <v>2936.67</v>
      </c>
    </row>
    <row r="86" spans="1:22" ht="28.5" x14ac:dyDescent="0.2">
      <c r="A86" s="18">
        <v>5</v>
      </c>
      <c r="B86" s="18">
        <v>5</v>
      </c>
      <c r="C86" s="18" t="str">
        <f>Source!F113</f>
        <v>1.22-2103-2-1/1</v>
      </c>
      <c r="D86" s="18" t="str">
        <f>Source!G113</f>
        <v>Техническое обслуживание сетевой линии связи</v>
      </c>
      <c r="E86" s="19" t="str">
        <f>Source!H113</f>
        <v>100 м</v>
      </c>
      <c r="F86" s="9">
        <f>Source!I113</f>
        <v>0.6</v>
      </c>
      <c r="G86" s="21"/>
      <c r="H86" s="20"/>
      <c r="I86" s="9"/>
      <c r="J86" s="9"/>
      <c r="K86" s="21"/>
      <c r="L86" s="21"/>
      <c r="Q86">
        <f>ROUND((Source!BZ113/100)*ROUND((Source!AF113*Source!AV113)*Source!I113, 2), 2)</f>
        <v>208.64</v>
      </c>
      <c r="R86">
        <f>Source!X113</f>
        <v>208.64</v>
      </c>
      <c r="S86">
        <f>ROUND((Source!CA113/100)*ROUND((Source!AF113*Source!AV113)*Source!I113, 2), 2)</f>
        <v>29.81</v>
      </c>
      <c r="T86">
        <f>Source!Y113</f>
        <v>29.81</v>
      </c>
      <c r="U86">
        <f>ROUND((175/100)*ROUND((Source!AE113*Source!AV113)*Source!I113, 2), 2)</f>
        <v>0</v>
      </c>
      <c r="V86">
        <f>ROUND((108/100)*ROUND(Source!CS113*Source!I113, 2), 2)</f>
        <v>0</v>
      </c>
    </row>
    <row r="87" spans="1:22" x14ac:dyDescent="0.2">
      <c r="D87" s="25" t="str">
        <f>"Объем: "&amp;Source!I113&amp;"=(40+"&amp;"20)/"&amp;"100"</f>
        <v>Объем: 0,6=(40+20)/100</v>
      </c>
    </row>
    <row r="88" spans="1:22" ht="14.25" x14ac:dyDescent="0.2">
      <c r="A88" s="18"/>
      <c r="B88" s="18"/>
      <c r="C88" s="18"/>
      <c r="D88" s="18" t="s">
        <v>731</v>
      </c>
      <c r="E88" s="19"/>
      <c r="F88" s="9"/>
      <c r="G88" s="21">
        <f>Source!AO113</f>
        <v>496.76</v>
      </c>
      <c r="H88" s="20" t="str">
        <f>Source!DG113</f>
        <v/>
      </c>
      <c r="I88" s="9">
        <f>Source!AV113</f>
        <v>1</v>
      </c>
      <c r="J88" s="9">
        <f>IF(Source!BA113&lt;&gt; 0, Source!BA113, 1)</f>
        <v>1</v>
      </c>
      <c r="K88" s="21">
        <f>Source!S113</f>
        <v>298.06</v>
      </c>
      <c r="L88" s="21"/>
    </row>
    <row r="89" spans="1:22" ht="14.25" x14ac:dyDescent="0.2">
      <c r="A89" s="18"/>
      <c r="B89" s="18"/>
      <c r="C89" s="18"/>
      <c r="D89" s="18" t="s">
        <v>733</v>
      </c>
      <c r="E89" s="19" t="s">
        <v>734</v>
      </c>
      <c r="F89" s="9">
        <f>Source!AT113</f>
        <v>70</v>
      </c>
      <c r="G89" s="21"/>
      <c r="H89" s="20"/>
      <c r="I89" s="9"/>
      <c r="J89" s="9"/>
      <c r="K89" s="21">
        <f>SUM(R86:R88)</f>
        <v>208.64</v>
      </c>
      <c r="L89" s="21"/>
    </row>
    <row r="90" spans="1:22" ht="14.25" x14ac:dyDescent="0.2">
      <c r="A90" s="18"/>
      <c r="B90" s="18"/>
      <c r="C90" s="18"/>
      <c r="D90" s="18" t="s">
        <v>735</v>
      </c>
      <c r="E90" s="19" t="s">
        <v>734</v>
      </c>
      <c r="F90" s="9">
        <f>Source!AU113</f>
        <v>10</v>
      </c>
      <c r="G90" s="21"/>
      <c r="H90" s="20"/>
      <c r="I90" s="9"/>
      <c r="J90" s="9"/>
      <c r="K90" s="21">
        <f>SUM(T86:T89)</f>
        <v>29.81</v>
      </c>
      <c r="L90" s="21"/>
    </row>
    <row r="91" spans="1:22" ht="14.25" x14ac:dyDescent="0.2">
      <c r="A91" s="18"/>
      <c r="B91" s="18"/>
      <c r="C91" s="18"/>
      <c r="D91" s="18" t="s">
        <v>736</v>
      </c>
      <c r="E91" s="19" t="s">
        <v>737</v>
      </c>
      <c r="F91" s="9">
        <f>Source!AQ113</f>
        <v>0.7</v>
      </c>
      <c r="G91" s="21"/>
      <c r="H91" s="20" t="str">
        <f>Source!DI113</f>
        <v/>
      </c>
      <c r="I91" s="9">
        <f>Source!AV113</f>
        <v>1</v>
      </c>
      <c r="J91" s="9"/>
      <c r="K91" s="21"/>
      <c r="L91" s="21">
        <f>Source!U113</f>
        <v>0.42</v>
      </c>
    </row>
    <row r="92" spans="1:22" ht="1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51">
        <f>K88+K89+K90</f>
        <v>536.51</v>
      </c>
      <c r="K92" s="51"/>
      <c r="L92" s="24">
        <f>IF(Source!I113&lt;&gt;0, ROUND(J92/Source!I113, 2), 0)</f>
        <v>894.18</v>
      </c>
      <c r="P92" s="22">
        <f>J92</f>
        <v>536.51</v>
      </c>
    </row>
    <row r="93" spans="1:22" ht="57" x14ac:dyDescent="0.2">
      <c r="A93" s="18">
        <v>6</v>
      </c>
      <c r="B93" s="18">
        <v>6</v>
      </c>
      <c r="C93" s="18" t="str">
        <f>Source!F114</f>
        <v>1.23-2103-22-3/1</v>
      </c>
      <c r="D93" s="18" t="str">
        <f>Source!G114</f>
        <v>Техническое обслуживание расходомера электромагнитного / Тепловычислитель TB7-04 TB7-04 Данфосс</v>
      </c>
      <c r="E93" s="19" t="str">
        <f>Source!H114</f>
        <v>шт.</v>
      </c>
      <c r="F93" s="9">
        <f>Source!I114</f>
        <v>1</v>
      </c>
      <c r="G93" s="21"/>
      <c r="H93" s="20"/>
      <c r="I93" s="9"/>
      <c r="J93" s="9"/>
      <c r="K93" s="21"/>
      <c r="L93" s="21"/>
      <c r="Q93">
        <f>ROUND((Source!BZ114/100)*ROUND((Source!AF114*Source!AV114)*Source!I114, 2), 2)</f>
        <v>2090.27</v>
      </c>
      <c r="R93">
        <f>Source!X114</f>
        <v>2090.27</v>
      </c>
      <c r="S93">
        <f>ROUND((Source!CA114/100)*ROUND((Source!AF114*Source!AV114)*Source!I114, 2), 2)</f>
        <v>298.61</v>
      </c>
      <c r="T93">
        <f>Source!Y114</f>
        <v>298.61</v>
      </c>
      <c r="U93">
        <f>ROUND((175/100)*ROUND((Source!AE114*Source!AV114)*Source!I114, 2), 2)</f>
        <v>0</v>
      </c>
      <c r="V93">
        <f>ROUND((108/100)*ROUND(Source!CS114*Source!I114, 2), 2)</f>
        <v>0</v>
      </c>
    </row>
    <row r="94" spans="1:22" ht="14.25" x14ac:dyDescent="0.2">
      <c r="A94" s="18"/>
      <c r="B94" s="18"/>
      <c r="C94" s="18"/>
      <c r="D94" s="18" t="s">
        <v>731</v>
      </c>
      <c r="E94" s="19"/>
      <c r="F94" s="9"/>
      <c r="G94" s="21">
        <f>Source!AO114</f>
        <v>1493.05</v>
      </c>
      <c r="H94" s="20" t="str">
        <f>Source!DG114</f>
        <v>)*2</v>
      </c>
      <c r="I94" s="9">
        <f>Source!AV114</f>
        <v>1</v>
      </c>
      <c r="J94" s="9">
        <f>IF(Source!BA114&lt;&gt; 0, Source!BA114, 1)</f>
        <v>1</v>
      </c>
      <c r="K94" s="21">
        <f>Source!S114</f>
        <v>2986.1</v>
      </c>
      <c r="L94" s="21"/>
    </row>
    <row r="95" spans="1:22" ht="14.25" x14ac:dyDescent="0.2">
      <c r="A95" s="18"/>
      <c r="B95" s="18"/>
      <c r="C95" s="18"/>
      <c r="D95" s="18" t="s">
        <v>732</v>
      </c>
      <c r="E95" s="19"/>
      <c r="F95" s="9"/>
      <c r="G95" s="21">
        <f>Source!AL114</f>
        <v>19.14</v>
      </c>
      <c r="H95" s="20" t="str">
        <f>Source!DD114</f>
        <v>)*2</v>
      </c>
      <c r="I95" s="9">
        <f>Source!AW114</f>
        <v>1</v>
      </c>
      <c r="J95" s="9">
        <f>IF(Source!BC114&lt;&gt; 0, Source!BC114, 1)</f>
        <v>1</v>
      </c>
      <c r="K95" s="21">
        <f>Source!P114</f>
        <v>38.28</v>
      </c>
      <c r="L95" s="21"/>
    </row>
    <row r="96" spans="1:22" ht="14.25" x14ac:dyDescent="0.2">
      <c r="A96" s="18"/>
      <c r="B96" s="18"/>
      <c r="C96" s="18"/>
      <c r="D96" s="18" t="s">
        <v>733</v>
      </c>
      <c r="E96" s="19" t="s">
        <v>734</v>
      </c>
      <c r="F96" s="9">
        <f>Source!AT114</f>
        <v>70</v>
      </c>
      <c r="G96" s="21"/>
      <c r="H96" s="20"/>
      <c r="I96" s="9"/>
      <c r="J96" s="9"/>
      <c r="K96" s="21">
        <f>SUM(R93:R95)</f>
        <v>2090.27</v>
      </c>
      <c r="L96" s="21"/>
    </row>
    <row r="97" spans="1:22" ht="14.25" x14ac:dyDescent="0.2">
      <c r="A97" s="18"/>
      <c r="B97" s="18"/>
      <c r="C97" s="18"/>
      <c r="D97" s="18" t="s">
        <v>735</v>
      </c>
      <c r="E97" s="19" t="s">
        <v>734</v>
      </c>
      <c r="F97" s="9">
        <f>Source!AU114</f>
        <v>10</v>
      </c>
      <c r="G97" s="21"/>
      <c r="H97" s="20"/>
      <c r="I97" s="9"/>
      <c r="J97" s="9"/>
      <c r="K97" s="21">
        <f>SUM(T93:T96)</f>
        <v>298.61</v>
      </c>
      <c r="L97" s="21"/>
    </row>
    <row r="98" spans="1:22" ht="14.25" x14ac:dyDescent="0.2">
      <c r="A98" s="18"/>
      <c r="B98" s="18"/>
      <c r="C98" s="18"/>
      <c r="D98" s="18" t="s">
        <v>736</v>
      </c>
      <c r="E98" s="19" t="s">
        <v>737</v>
      </c>
      <c r="F98" s="9">
        <f>Source!AQ114</f>
        <v>1.8</v>
      </c>
      <c r="G98" s="21"/>
      <c r="H98" s="20" t="str">
        <f>Source!DI114</f>
        <v>)*2</v>
      </c>
      <c r="I98" s="9">
        <f>Source!AV114</f>
        <v>1</v>
      </c>
      <c r="J98" s="9"/>
      <c r="K98" s="21"/>
      <c r="L98" s="21">
        <f>Source!U114</f>
        <v>3.6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51">
        <f>K94+K95+K96+K97</f>
        <v>5413.2599999999993</v>
      </c>
      <c r="K99" s="51"/>
      <c r="L99" s="24">
        <f>IF(Source!I114&lt;&gt;0, ROUND(J99/Source!I114, 2), 0)</f>
        <v>5413.26</v>
      </c>
      <c r="P99" s="22">
        <f>J99</f>
        <v>5413.2599999999993</v>
      </c>
    </row>
    <row r="100" spans="1:22" ht="99.75" x14ac:dyDescent="0.2">
      <c r="A100" s="18">
        <v>7</v>
      </c>
      <c r="B100" s="18">
        <v>7</v>
      </c>
      <c r="C100" s="18" t="str">
        <f>Source!F115</f>
        <v>1.23-2103-8-1/1</v>
      </c>
      <c r="D100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E100" s="19" t="str">
        <f>Source!H115</f>
        <v>шт.</v>
      </c>
      <c r="F100" s="9">
        <f>Source!I115</f>
        <v>2</v>
      </c>
      <c r="G100" s="21"/>
      <c r="H100" s="20"/>
      <c r="I100" s="9"/>
      <c r="J100" s="9"/>
      <c r="K100" s="21"/>
      <c r="L100" s="21"/>
      <c r="Q100">
        <f>ROUND((Source!BZ115/100)*ROUND((Source!AF115*Source!AV115)*Source!I115, 2), 2)</f>
        <v>2299.5300000000002</v>
      </c>
      <c r="R100">
        <f>Source!X115</f>
        <v>2299.5300000000002</v>
      </c>
      <c r="S100">
        <f>ROUND((Source!CA115/100)*ROUND((Source!AF115*Source!AV115)*Source!I115, 2), 2)</f>
        <v>328.5</v>
      </c>
      <c r="T100">
        <f>Source!Y115</f>
        <v>328.5</v>
      </c>
      <c r="U100">
        <f>ROUND((175/100)*ROUND((Source!AE115*Source!AV115)*Source!I115, 2), 2)</f>
        <v>0</v>
      </c>
      <c r="V100">
        <f>ROUND((108/100)*ROUND(Source!CS115*Source!I115, 2), 2)</f>
        <v>0</v>
      </c>
    </row>
    <row r="101" spans="1:22" ht="14.25" x14ac:dyDescent="0.2">
      <c r="A101" s="18"/>
      <c r="B101" s="18"/>
      <c r="C101" s="18"/>
      <c r="D101" s="18" t="s">
        <v>731</v>
      </c>
      <c r="E101" s="19"/>
      <c r="F101" s="9"/>
      <c r="G101" s="21">
        <f>Source!AO115</f>
        <v>821.26</v>
      </c>
      <c r="H101" s="20" t="str">
        <f>Source!DG115</f>
        <v>)*2</v>
      </c>
      <c r="I101" s="9">
        <f>Source!AV115</f>
        <v>1</v>
      </c>
      <c r="J101" s="9">
        <f>IF(Source!BA115&lt;&gt; 0, Source!BA115, 1)</f>
        <v>1</v>
      </c>
      <c r="K101" s="21">
        <f>Source!S115</f>
        <v>3285.04</v>
      </c>
      <c r="L101" s="21"/>
    </row>
    <row r="102" spans="1:22" ht="14.25" x14ac:dyDescent="0.2">
      <c r="A102" s="18"/>
      <c r="B102" s="18"/>
      <c r="C102" s="18"/>
      <c r="D102" s="18" t="s">
        <v>733</v>
      </c>
      <c r="E102" s="19" t="s">
        <v>734</v>
      </c>
      <c r="F102" s="9">
        <f>Source!AT115</f>
        <v>70</v>
      </c>
      <c r="G102" s="21"/>
      <c r="H102" s="20"/>
      <c r="I102" s="9"/>
      <c r="J102" s="9"/>
      <c r="K102" s="21">
        <f>SUM(R100:R101)</f>
        <v>2299.5300000000002</v>
      </c>
      <c r="L102" s="21"/>
    </row>
    <row r="103" spans="1:22" ht="14.25" x14ac:dyDescent="0.2">
      <c r="A103" s="18"/>
      <c r="B103" s="18"/>
      <c r="C103" s="18"/>
      <c r="D103" s="18" t="s">
        <v>735</v>
      </c>
      <c r="E103" s="19" t="s">
        <v>734</v>
      </c>
      <c r="F103" s="9">
        <f>Source!AU115</f>
        <v>10</v>
      </c>
      <c r="G103" s="21"/>
      <c r="H103" s="20"/>
      <c r="I103" s="9"/>
      <c r="J103" s="9"/>
      <c r="K103" s="21">
        <f>SUM(T100:T102)</f>
        <v>328.5</v>
      </c>
      <c r="L103" s="21"/>
    </row>
    <row r="104" spans="1:22" ht="14.25" x14ac:dyDescent="0.2">
      <c r="A104" s="18"/>
      <c r="B104" s="18"/>
      <c r="C104" s="18"/>
      <c r="D104" s="18" t="s">
        <v>736</v>
      </c>
      <c r="E104" s="19" t="s">
        <v>737</v>
      </c>
      <c r="F104" s="9">
        <f>Source!AQ115</f>
        <v>1.33</v>
      </c>
      <c r="G104" s="21"/>
      <c r="H104" s="20" t="str">
        <f>Source!DI115</f>
        <v>)*2</v>
      </c>
      <c r="I104" s="9">
        <f>Source!AV115</f>
        <v>1</v>
      </c>
      <c r="J104" s="9"/>
      <c r="K104" s="21"/>
      <c r="L104" s="21">
        <f>Source!U115</f>
        <v>5.32</v>
      </c>
    </row>
    <row r="105" spans="1:22" ht="1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51">
        <f>K101+K102+K103</f>
        <v>5913.07</v>
      </c>
      <c r="K105" s="51"/>
      <c r="L105" s="24">
        <f>IF(Source!I115&lt;&gt;0, ROUND(J105/Source!I115, 2), 0)</f>
        <v>2956.54</v>
      </c>
      <c r="P105" s="22">
        <f>J105</f>
        <v>5913.07</v>
      </c>
    </row>
    <row r="106" spans="1:22" ht="71.25" x14ac:dyDescent="0.2">
      <c r="A106" s="18">
        <v>8</v>
      </c>
      <c r="B106" s="18">
        <v>8</v>
      </c>
      <c r="C106" s="18" t="str">
        <f>Source!F116</f>
        <v>1.23-2303-6-1/1</v>
      </c>
      <c r="D106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E106" s="19" t="str">
        <f>Source!H116</f>
        <v>шт.</v>
      </c>
      <c r="F106" s="9">
        <f>Source!I116</f>
        <v>2</v>
      </c>
      <c r="G106" s="21"/>
      <c r="H106" s="20"/>
      <c r="I106" s="9"/>
      <c r="J106" s="9"/>
      <c r="K106" s="21"/>
      <c r="L106" s="21"/>
      <c r="Q106">
        <f>ROUND((Source!BZ116/100)*ROUND((Source!AF116*Source!AV116)*Source!I116, 2), 2)</f>
        <v>933.91</v>
      </c>
      <c r="R106">
        <f>Source!X116</f>
        <v>933.91</v>
      </c>
      <c r="S106">
        <f>ROUND((Source!CA116/100)*ROUND((Source!AF116*Source!AV116)*Source!I116, 2), 2)</f>
        <v>133.41999999999999</v>
      </c>
      <c r="T106">
        <f>Source!Y116</f>
        <v>133.41999999999999</v>
      </c>
      <c r="U106">
        <f>ROUND((175/100)*ROUND((Source!AE116*Source!AV116)*Source!I116, 2), 2)</f>
        <v>0</v>
      </c>
      <c r="V106">
        <f>ROUND((108/100)*ROUND(Source!CS116*Source!I116, 2), 2)</f>
        <v>0</v>
      </c>
    </row>
    <row r="107" spans="1:22" ht="14.25" x14ac:dyDescent="0.2">
      <c r="A107" s="18"/>
      <c r="B107" s="18"/>
      <c r="C107" s="18"/>
      <c r="D107" s="18" t="s">
        <v>731</v>
      </c>
      <c r="E107" s="19"/>
      <c r="F107" s="9"/>
      <c r="G107" s="21">
        <f>Source!AO116</f>
        <v>333.54</v>
      </c>
      <c r="H107" s="20" t="str">
        <f>Source!DG116</f>
        <v>)*2</v>
      </c>
      <c r="I107" s="9">
        <f>Source!AV116</f>
        <v>1</v>
      </c>
      <c r="J107" s="9">
        <f>IF(Source!BA116&lt;&gt; 0, Source!BA116, 1)</f>
        <v>1</v>
      </c>
      <c r="K107" s="21">
        <f>Source!S116</f>
        <v>1334.16</v>
      </c>
      <c r="L107" s="21"/>
    </row>
    <row r="108" spans="1:22" ht="14.25" x14ac:dyDescent="0.2">
      <c r="A108" s="18"/>
      <c r="B108" s="18"/>
      <c r="C108" s="18"/>
      <c r="D108" s="18" t="s">
        <v>732</v>
      </c>
      <c r="E108" s="19"/>
      <c r="F108" s="9"/>
      <c r="G108" s="21">
        <f>Source!AL116</f>
        <v>20.239999999999998</v>
      </c>
      <c r="H108" s="20" t="str">
        <f>Source!DD116</f>
        <v>)*2</v>
      </c>
      <c r="I108" s="9">
        <f>Source!AW116</f>
        <v>1</v>
      </c>
      <c r="J108" s="9">
        <f>IF(Source!BC116&lt;&gt; 0, Source!BC116, 1)</f>
        <v>1</v>
      </c>
      <c r="K108" s="21">
        <f>Source!P116</f>
        <v>80.959999999999994</v>
      </c>
      <c r="L108" s="21"/>
    </row>
    <row r="109" spans="1:22" ht="14.25" x14ac:dyDescent="0.2">
      <c r="A109" s="18"/>
      <c r="B109" s="18"/>
      <c r="C109" s="18"/>
      <c r="D109" s="18" t="s">
        <v>733</v>
      </c>
      <c r="E109" s="19" t="s">
        <v>734</v>
      </c>
      <c r="F109" s="9">
        <f>Source!AT116</f>
        <v>70</v>
      </c>
      <c r="G109" s="21"/>
      <c r="H109" s="20"/>
      <c r="I109" s="9"/>
      <c r="J109" s="9"/>
      <c r="K109" s="21">
        <f>SUM(R106:R108)</f>
        <v>933.91</v>
      </c>
      <c r="L109" s="21"/>
    </row>
    <row r="110" spans="1:22" ht="14.25" x14ac:dyDescent="0.2">
      <c r="A110" s="18"/>
      <c r="B110" s="18"/>
      <c r="C110" s="18"/>
      <c r="D110" s="18" t="s">
        <v>735</v>
      </c>
      <c r="E110" s="19" t="s">
        <v>734</v>
      </c>
      <c r="F110" s="9">
        <f>Source!AU116</f>
        <v>10</v>
      </c>
      <c r="G110" s="21"/>
      <c r="H110" s="20"/>
      <c r="I110" s="9"/>
      <c r="J110" s="9"/>
      <c r="K110" s="21">
        <f>SUM(T106:T109)</f>
        <v>133.41999999999999</v>
      </c>
      <c r="L110" s="21"/>
    </row>
    <row r="111" spans="1:22" ht="14.25" x14ac:dyDescent="0.2">
      <c r="A111" s="18"/>
      <c r="B111" s="18"/>
      <c r="C111" s="18"/>
      <c r="D111" s="18" t="s">
        <v>736</v>
      </c>
      <c r="E111" s="19" t="s">
        <v>737</v>
      </c>
      <c r="F111" s="9">
        <f>Source!AQ116</f>
        <v>0.47</v>
      </c>
      <c r="G111" s="21"/>
      <c r="H111" s="20" t="str">
        <f>Source!DI116</f>
        <v>)*2</v>
      </c>
      <c r="I111" s="9">
        <f>Source!AV116</f>
        <v>1</v>
      </c>
      <c r="J111" s="9"/>
      <c r="K111" s="21"/>
      <c r="L111" s="21">
        <f>Source!U116</f>
        <v>1.88</v>
      </c>
    </row>
    <row r="112" spans="1:22" ht="1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51">
        <f>K107+K108+K109+K110</f>
        <v>2482.4500000000003</v>
      </c>
      <c r="K112" s="51"/>
      <c r="L112" s="24">
        <f>IF(Source!I116&lt;&gt;0, ROUND(J112/Source!I116, 2), 0)</f>
        <v>1241.23</v>
      </c>
      <c r="P112" s="22">
        <f>J112</f>
        <v>2482.4500000000003</v>
      </c>
    </row>
    <row r="113" spans="1:22" ht="42.75" x14ac:dyDescent="0.2">
      <c r="A113" s="18">
        <v>9</v>
      </c>
      <c r="B113" s="18">
        <v>9</v>
      </c>
      <c r="C113" s="18" t="str">
        <f>Source!F117</f>
        <v>1.23-2103-27-1/1</v>
      </c>
      <c r="D113" s="18" t="str">
        <f>Source!G117</f>
        <v>Техническое обслуживание преобразователя давления МТ100 и аналогов</v>
      </c>
      <c r="E113" s="19" t="str">
        <f>Source!H117</f>
        <v>10 шт.</v>
      </c>
      <c r="F113" s="9">
        <f>Source!I117</f>
        <v>0.2</v>
      </c>
      <c r="G113" s="21"/>
      <c r="H113" s="20"/>
      <c r="I113" s="9"/>
      <c r="J113" s="9"/>
      <c r="K113" s="21"/>
      <c r="L113" s="21"/>
      <c r="Q113">
        <f>ROUND((Source!BZ117/100)*ROUND((Source!AF117*Source!AV117)*Source!I117, 2), 2)</f>
        <v>2483.81</v>
      </c>
      <c r="R113">
        <f>Source!X117</f>
        <v>2483.81</v>
      </c>
      <c r="S113">
        <f>ROUND((Source!CA117/100)*ROUND((Source!AF117*Source!AV117)*Source!I117, 2), 2)</f>
        <v>354.83</v>
      </c>
      <c r="T113">
        <f>Source!Y117</f>
        <v>354.83</v>
      </c>
      <c r="U113">
        <f>ROUND((175/100)*ROUND((Source!AE117*Source!AV117)*Source!I117, 2), 2)</f>
        <v>0</v>
      </c>
      <c r="V113">
        <f>ROUND((108/100)*ROUND(Source!CS117*Source!I117, 2), 2)</f>
        <v>0</v>
      </c>
    </row>
    <row r="114" spans="1:22" x14ac:dyDescent="0.2">
      <c r="D114" s="25" t="str">
        <f>"Объем: "&amp;Source!I117&amp;"=2/"&amp;"10"</f>
        <v>Объем: 0,2=2/10</v>
      </c>
    </row>
    <row r="115" spans="1:22" ht="14.25" x14ac:dyDescent="0.2">
      <c r="A115" s="18"/>
      <c r="B115" s="18"/>
      <c r="C115" s="18"/>
      <c r="D115" s="18" t="s">
        <v>731</v>
      </c>
      <c r="E115" s="19"/>
      <c r="F115" s="9"/>
      <c r="G115" s="21">
        <f>Source!AO117</f>
        <v>8870.75</v>
      </c>
      <c r="H115" s="20" t="str">
        <f>Source!DG117</f>
        <v>)*2</v>
      </c>
      <c r="I115" s="9">
        <f>Source!AV117</f>
        <v>1</v>
      </c>
      <c r="J115" s="9">
        <f>IF(Source!BA117&lt;&gt; 0, Source!BA117, 1)</f>
        <v>1</v>
      </c>
      <c r="K115" s="21">
        <f>Source!S117</f>
        <v>3548.3</v>
      </c>
      <c r="L115" s="21"/>
    </row>
    <row r="116" spans="1:22" ht="14.25" x14ac:dyDescent="0.2">
      <c r="A116" s="18"/>
      <c r="B116" s="18"/>
      <c r="C116" s="18"/>
      <c r="D116" s="18" t="s">
        <v>732</v>
      </c>
      <c r="E116" s="19"/>
      <c r="F116" s="9"/>
      <c r="G116" s="21">
        <f>Source!AL117</f>
        <v>17.39</v>
      </c>
      <c r="H116" s="20" t="str">
        <f>Source!DD117</f>
        <v>)*2</v>
      </c>
      <c r="I116" s="9">
        <f>Source!AW117</f>
        <v>1</v>
      </c>
      <c r="J116" s="9">
        <f>IF(Source!BC117&lt;&gt; 0, Source!BC117, 1)</f>
        <v>1</v>
      </c>
      <c r="K116" s="21">
        <f>Source!P117</f>
        <v>6.96</v>
      </c>
      <c r="L116" s="21"/>
    </row>
    <row r="117" spans="1:22" ht="14.25" x14ac:dyDescent="0.2">
      <c r="A117" s="18"/>
      <c r="B117" s="18"/>
      <c r="C117" s="18"/>
      <c r="D117" s="18" t="s">
        <v>733</v>
      </c>
      <c r="E117" s="19" t="s">
        <v>734</v>
      </c>
      <c r="F117" s="9">
        <f>Source!AT117</f>
        <v>70</v>
      </c>
      <c r="G117" s="21"/>
      <c r="H117" s="20"/>
      <c r="I117" s="9"/>
      <c r="J117" s="9"/>
      <c r="K117" s="21">
        <f>SUM(R113:R116)</f>
        <v>2483.81</v>
      </c>
      <c r="L117" s="21"/>
    </row>
    <row r="118" spans="1:22" ht="14.25" x14ac:dyDescent="0.2">
      <c r="A118" s="18"/>
      <c r="B118" s="18"/>
      <c r="C118" s="18"/>
      <c r="D118" s="18" t="s">
        <v>735</v>
      </c>
      <c r="E118" s="19" t="s">
        <v>734</v>
      </c>
      <c r="F118" s="9">
        <f>Source!AU117</f>
        <v>10</v>
      </c>
      <c r="G118" s="21"/>
      <c r="H118" s="20"/>
      <c r="I118" s="9"/>
      <c r="J118" s="9"/>
      <c r="K118" s="21">
        <f>SUM(T113:T117)</f>
        <v>354.83</v>
      </c>
      <c r="L118" s="21"/>
    </row>
    <row r="119" spans="1:22" ht="14.25" x14ac:dyDescent="0.2">
      <c r="A119" s="18"/>
      <c r="B119" s="18"/>
      <c r="C119" s="18"/>
      <c r="D119" s="18" t="s">
        <v>736</v>
      </c>
      <c r="E119" s="19" t="s">
        <v>737</v>
      </c>
      <c r="F119" s="9">
        <f>Source!AQ117</f>
        <v>12.5</v>
      </c>
      <c r="G119" s="21"/>
      <c r="H119" s="20" t="str">
        <f>Source!DI117</f>
        <v>)*2</v>
      </c>
      <c r="I119" s="9">
        <f>Source!AV117</f>
        <v>1</v>
      </c>
      <c r="J119" s="9"/>
      <c r="K119" s="21"/>
      <c r="L119" s="21">
        <f>Source!U117</f>
        <v>5</v>
      </c>
    </row>
    <row r="120" spans="1:22" ht="1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51">
        <f>K115+K116+K117+K118</f>
        <v>6393.9</v>
      </c>
      <c r="K120" s="51"/>
      <c r="L120" s="24">
        <f>IF(Source!I117&lt;&gt;0, ROUND(J120/Source!I117, 2), 0)</f>
        <v>31969.5</v>
      </c>
      <c r="P120" s="22">
        <f>J120</f>
        <v>6393.9</v>
      </c>
    </row>
    <row r="122" spans="1:22" ht="15" x14ac:dyDescent="0.25">
      <c r="C122" s="52" t="str">
        <f>Source!G118</f>
        <v>Индивидуальный тепловой пункт. Тепломеханические решения.</v>
      </c>
      <c r="D122" s="52"/>
      <c r="E122" s="52"/>
      <c r="F122" s="52"/>
      <c r="G122" s="52"/>
      <c r="H122" s="52"/>
      <c r="I122" s="52"/>
      <c r="J122" s="52"/>
      <c r="K122" s="52"/>
    </row>
    <row r="123" spans="1:22" ht="42.75" x14ac:dyDescent="0.2">
      <c r="A123" s="18">
        <v>10</v>
      </c>
      <c r="B123" s="18">
        <v>10</v>
      </c>
      <c r="C123" s="18" t="str">
        <f>Source!F119</f>
        <v>1.15-2203-7-3/1</v>
      </c>
      <c r="D123" s="18" t="str">
        <f>Source!G119</f>
        <v>Техническое обслуживание крана шарового латунного никелированного диаметром до 100 мм</v>
      </c>
      <c r="E123" s="19" t="str">
        <f>Source!H119</f>
        <v>10 шт.</v>
      </c>
      <c r="F123" s="9">
        <f>Source!I119</f>
        <v>0.2</v>
      </c>
      <c r="G123" s="21"/>
      <c r="H123" s="20"/>
      <c r="I123" s="9"/>
      <c r="J123" s="9"/>
      <c r="K123" s="21"/>
      <c r="L123" s="21"/>
      <c r="Q123">
        <f>ROUND((Source!BZ119/100)*ROUND((Source!AF119*Source!AV119)*Source!I119, 2), 2)</f>
        <v>79.53</v>
      </c>
      <c r="R123">
        <f>Source!X119</f>
        <v>79.53</v>
      </c>
      <c r="S123">
        <f>ROUND((Source!CA119/100)*ROUND((Source!AF119*Source!AV119)*Source!I119, 2), 2)</f>
        <v>11.36</v>
      </c>
      <c r="T123">
        <f>Source!Y119</f>
        <v>11.36</v>
      </c>
      <c r="U123">
        <f>ROUND((175/100)*ROUND((Source!AE119*Source!AV119)*Source!I119, 2), 2)</f>
        <v>0</v>
      </c>
      <c r="V123">
        <f>ROUND((108/100)*ROUND(Source!CS119*Source!I119, 2), 2)</f>
        <v>0</v>
      </c>
    </row>
    <row r="124" spans="1:22" x14ac:dyDescent="0.2">
      <c r="D124" s="25" t="str">
        <f>"Объем: "&amp;Source!I119&amp;"=2/"&amp;"10"</f>
        <v>Объем: 0,2=2/10</v>
      </c>
    </row>
    <row r="125" spans="1:22" ht="14.25" x14ac:dyDescent="0.2">
      <c r="A125" s="18"/>
      <c r="B125" s="18"/>
      <c r="C125" s="18"/>
      <c r="D125" s="18" t="s">
        <v>731</v>
      </c>
      <c r="E125" s="19"/>
      <c r="F125" s="9"/>
      <c r="G125" s="21">
        <f>Source!AO119</f>
        <v>568.09</v>
      </c>
      <c r="H125" s="20" t="str">
        <f>Source!DG119</f>
        <v/>
      </c>
      <c r="I125" s="9">
        <f>Source!AV119</f>
        <v>1</v>
      </c>
      <c r="J125" s="9">
        <f>IF(Source!BA119&lt;&gt; 0, Source!BA119, 1)</f>
        <v>1</v>
      </c>
      <c r="K125" s="21">
        <f>Source!S119</f>
        <v>113.62</v>
      </c>
      <c r="L125" s="21"/>
    </row>
    <row r="126" spans="1:22" ht="14.25" x14ac:dyDescent="0.2">
      <c r="A126" s="18"/>
      <c r="B126" s="18"/>
      <c r="C126" s="18"/>
      <c r="D126" s="18" t="s">
        <v>733</v>
      </c>
      <c r="E126" s="19" t="s">
        <v>734</v>
      </c>
      <c r="F126" s="9">
        <f>Source!AT119</f>
        <v>70</v>
      </c>
      <c r="G126" s="21"/>
      <c r="H126" s="20"/>
      <c r="I126" s="9"/>
      <c r="J126" s="9"/>
      <c r="K126" s="21">
        <f>SUM(R123:R125)</f>
        <v>79.53</v>
      </c>
      <c r="L126" s="21"/>
    </row>
    <row r="127" spans="1:22" ht="14.25" x14ac:dyDescent="0.2">
      <c r="A127" s="18"/>
      <c r="B127" s="18"/>
      <c r="C127" s="18"/>
      <c r="D127" s="18" t="s">
        <v>735</v>
      </c>
      <c r="E127" s="19" t="s">
        <v>734</v>
      </c>
      <c r="F127" s="9">
        <f>Source!AU119</f>
        <v>10</v>
      </c>
      <c r="G127" s="21"/>
      <c r="H127" s="20"/>
      <c r="I127" s="9"/>
      <c r="J127" s="9"/>
      <c r="K127" s="21">
        <f>SUM(T123:T126)</f>
        <v>11.36</v>
      </c>
      <c r="L127" s="21"/>
    </row>
    <row r="128" spans="1:22" ht="14.25" x14ac:dyDescent="0.2">
      <c r="A128" s="18"/>
      <c r="B128" s="18"/>
      <c r="C128" s="18"/>
      <c r="D128" s="18" t="s">
        <v>736</v>
      </c>
      <c r="E128" s="19" t="s">
        <v>737</v>
      </c>
      <c r="F128" s="9">
        <f>Source!AQ119</f>
        <v>0.92</v>
      </c>
      <c r="G128" s="21"/>
      <c r="H128" s="20" t="str">
        <f>Source!DI119</f>
        <v/>
      </c>
      <c r="I128" s="9">
        <f>Source!AV119</f>
        <v>1</v>
      </c>
      <c r="J128" s="9"/>
      <c r="K128" s="21"/>
      <c r="L128" s="21">
        <f>Source!U119</f>
        <v>0.18400000000000002</v>
      </c>
    </row>
    <row r="129" spans="1:22" ht="15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51">
        <f>K125+K126+K127</f>
        <v>204.51</v>
      </c>
      <c r="K129" s="51"/>
      <c r="L129" s="24">
        <f>IF(Source!I119&lt;&gt;0, ROUND(J129/Source!I119, 2), 0)</f>
        <v>1022.55</v>
      </c>
      <c r="P129" s="22">
        <f>J129</f>
        <v>204.51</v>
      </c>
    </row>
    <row r="130" spans="1:22" ht="42.75" x14ac:dyDescent="0.2">
      <c r="A130" s="18">
        <v>11</v>
      </c>
      <c r="B130" s="18">
        <v>11</v>
      </c>
      <c r="C130" s="18" t="str">
        <f>Source!F120</f>
        <v>1.23-2103-18-1/1</v>
      </c>
      <c r="D130" s="18" t="str">
        <f>Source!G120</f>
        <v>Техническое обслуживание термометра биметаллического, дилатометрического</v>
      </c>
      <c r="E130" s="19" t="str">
        <f>Source!H120</f>
        <v>шт.</v>
      </c>
      <c r="F130" s="9">
        <f>Source!I120</f>
        <v>2</v>
      </c>
      <c r="G130" s="21"/>
      <c r="H130" s="20"/>
      <c r="I130" s="9"/>
      <c r="J130" s="9"/>
      <c r="K130" s="21"/>
      <c r="L130" s="21"/>
      <c r="Q130">
        <f>ROUND((Source!BZ120/100)*ROUND((Source!AF120*Source!AV120)*Source!I120, 2), 2)</f>
        <v>615.97</v>
      </c>
      <c r="R130">
        <f>Source!X120</f>
        <v>615.97</v>
      </c>
      <c r="S130">
        <f>ROUND((Source!CA120/100)*ROUND((Source!AF120*Source!AV120)*Source!I120, 2), 2)</f>
        <v>88</v>
      </c>
      <c r="T130">
        <f>Source!Y120</f>
        <v>88</v>
      </c>
      <c r="U130">
        <f>ROUND((175/100)*ROUND((Source!AE120*Source!AV120)*Source!I120, 2), 2)</f>
        <v>0</v>
      </c>
      <c r="V130">
        <f>ROUND((108/100)*ROUND(Source!CS120*Source!I120, 2), 2)</f>
        <v>0</v>
      </c>
    </row>
    <row r="131" spans="1:22" ht="14.25" x14ac:dyDescent="0.2">
      <c r="A131" s="18"/>
      <c r="B131" s="18"/>
      <c r="C131" s="18"/>
      <c r="D131" s="18" t="s">
        <v>731</v>
      </c>
      <c r="E131" s="19"/>
      <c r="F131" s="9"/>
      <c r="G131" s="21">
        <f>Source!AO120</f>
        <v>219.99</v>
      </c>
      <c r="H131" s="20" t="str">
        <f>Source!DG120</f>
        <v>)*2</v>
      </c>
      <c r="I131" s="9">
        <f>Source!AV120</f>
        <v>1</v>
      </c>
      <c r="J131" s="9">
        <f>IF(Source!BA120&lt;&gt; 0, Source!BA120, 1)</f>
        <v>1</v>
      </c>
      <c r="K131" s="21">
        <f>Source!S120</f>
        <v>879.96</v>
      </c>
      <c r="L131" s="21"/>
    </row>
    <row r="132" spans="1:22" ht="14.25" x14ac:dyDescent="0.2">
      <c r="A132" s="18"/>
      <c r="B132" s="18"/>
      <c r="C132" s="18"/>
      <c r="D132" s="18" t="s">
        <v>732</v>
      </c>
      <c r="E132" s="19"/>
      <c r="F132" s="9"/>
      <c r="G132" s="21">
        <f>Source!AL120</f>
        <v>19.14</v>
      </c>
      <c r="H132" s="20" t="str">
        <f>Source!DD120</f>
        <v>)*2</v>
      </c>
      <c r="I132" s="9">
        <f>Source!AW120</f>
        <v>1</v>
      </c>
      <c r="J132" s="9">
        <f>IF(Source!BC120&lt;&gt; 0, Source!BC120, 1)</f>
        <v>1</v>
      </c>
      <c r="K132" s="21">
        <f>Source!P120</f>
        <v>76.56</v>
      </c>
      <c r="L132" s="21"/>
    </row>
    <row r="133" spans="1:22" ht="14.25" x14ac:dyDescent="0.2">
      <c r="A133" s="18"/>
      <c r="B133" s="18"/>
      <c r="C133" s="18"/>
      <c r="D133" s="18" t="s">
        <v>733</v>
      </c>
      <c r="E133" s="19" t="s">
        <v>734</v>
      </c>
      <c r="F133" s="9">
        <f>Source!AT120</f>
        <v>70</v>
      </c>
      <c r="G133" s="21"/>
      <c r="H133" s="20"/>
      <c r="I133" s="9"/>
      <c r="J133" s="9"/>
      <c r="K133" s="21">
        <f>SUM(R130:R132)</f>
        <v>615.97</v>
      </c>
      <c r="L133" s="21"/>
    </row>
    <row r="134" spans="1:22" ht="14.25" x14ac:dyDescent="0.2">
      <c r="A134" s="18"/>
      <c r="B134" s="18"/>
      <c r="C134" s="18"/>
      <c r="D134" s="18" t="s">
        <v>735</v>
      </c>
      <c r="E134" s="19" t="s">
        <v>734</v>
      </c>
      <c r="F134" s="9">
        <f>Source!AU120</f>
        <v>10</v>
      </c>
      <c r="G134" s="21"/>
      <c r="H134" s="20"/>
      <c r="I134" s="9"/>
      <c r="J134" s="9"/>
      <c r="K134" s="21">
        <f>SUM(T130:T133)</f>
        <v>88</v>
      </c>
      <c r="L134" s="21"/>
    </row>
    <row r="135" spans="1:22" ht="14.25" x14ac:dyDescent="0.2">
      <c r="A135" s="18"/>
      <c r="B135" s="18"/>
      <c r="C135" s="18"/>
      <c r="D135" s="18" t="s">
        <v>736</v>
      </c>
      <c r="E135" s="19" t="s">
        <v>737</v>
      </c>
      <c r="F135" s="9">
        <f>Source!AQ120</f>
        <v>0.31</v>
      </c>
      <c r="G135" s="21"/>
      <c r="H135" s="20" t="str">
        <f>Source!DI120</f>
        <v>)*2</v>
      </c>
      <c r="I135" s="9">
        <f>Source!AV120</f>
        <v>1</v>
      </c>
      <c r="J135" s="9"/>
      <c r="K135" s="21"/>
      <c r="L135" s="21">
        <f>Source!U120</f>
        <v>1.24</v>
      </c>
    </row>
    <row r="136" spans="1:22" ht="1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51">
        <f>K131+K132+K133+K134</f>
        <v>1660.49</v>
      </c>
      <c r="K136" s="51"/>
      <c r="L136" s="24">
        <f>IF(Source!I120&lt;&gt;0, ROUND(J136/Source!I120, 2), 0)</f>
        <v>830.25</v>
      </c>
      <c r="P136" s="22">
        <f>J136</f>
        <v>1660.49</v>
      </c>
    </row>
    <row r="137" spans="1:22" ht="28.5" x14ac:dyDescent="0.2">
      <c r="A137" s="18">
        <v>12</v>
      </c>
      <c r="B137" s="18">
        <v>12</v>
      </c>
      <c r="C137" s="18" t="str">
        <f>Source!F124</f>
        <v>1.17-2103-17-1/1</v>
      </c>
      <c r="D137" s="18" t="str">
        <f>Source!G124</f>
        <v>Техническое обслуживание автоматического воздухоотводчика</v>
      </c>
      <c r="E137" s="19" t="str">
        <f>Source!H124</f>
        <v>10 шт.</v>
      </c>
      <c r="F137" s="9">
        <f>Source!I124</f>
        <v>0.1</v>
      </c>
      <c r="G137" s="21"/>
      <c r="H137" s="20"/>
      <c r="I137" s="9"/>
      <c r="J137" s="9"/>
      <c r="K137" s="21"/>
      <c r="L137" s="21"/>
      <c r="Q137">
        <f>ROUND((Source!BZ124/100)*ROUND((Source!AF124*Source!AV124)*Source!I124, 2), 2)</f>
        <v>65.7</v>
      </c>
      <c r="R137">
        <f>Source!X124</f>
        <v>65.7</v>
      </c>
      <c r="S137">
        <f>ROUND((Source!CA124/100)*ROUND((Source!AF124*Source!AV124)*Source!I124, 2), 2)</f>
        <v>9.39</v>
      </c>
      <c r="T137">
        <f>Source!Y124</f>
        <v>9.39</v>
      </c>
      <c r="U137">
        <f>ROUND((175/100)*ROUND((Source!AE124*Source!AV124)*Source!I124, 2), 2)</f>
        <v>0</v>
      </c>
      <c r="V137">
        <f>ROUND((108/100)*ROUND(Source!CS124*Source!I124, 2), 2)</f>
        <v>0</v>
      </c>
    </row>
    <row r="138" spans="1:22" x14ac:dyDescent="0.2">
      <c r="D138" s="25" t="str">
        <f>"Объем: "&amp;Source!I124&amp;"=1/"&amp;"10"</f>
        <v>Объем: 0,1=1/10</v>
      </c>
    </row>
    <row r="139" spans="1:22" ht="14.25" x14ac:dyDescent="0.2">
      <c r="A139" s="18"/>
      <c r="B139" s="18"/>
      <c r="C139" s="18"/>
      <c r="D139" s="18" t="s">
        <v>731</v>
      </c>
      <c r="E139" s="19"/>
      <c r="F139" s="9"/>
      <c r="G139" s="21">
        <f>Source!AO124</f>
        <v>938.58</v>
      </c>
      <c r="H139" s="20" t="str">
        <f>Source!DG124</f>
        <v/>
      </c>
      <c r="I139" s="9">
        <f>Source!AV124</f>
        <v>1</v>
      </c>
      <c r="J139" s="9">
        <f>IF(Source!BA124&lt;&gt; 0, Source!BA124, 1)</f>
        <v>1</v>
      </c>
      <c r="K139" s="21">
        <f>Source!S124</f>
        <v>93.86</v>
      </c>
      <c r="L139" s="21"/>
    </row>
    <row r="140" spans="1:22" ht="14.25" x14ac:dyDescent="0.2">
      <c r="A140" s="18"/>
      <c r="B140" s="18"/>
      <c r="C140" s="18"/>
      <c r="D140" s="18" t="s">
        <v>732</v>
      </c>
      <c r="E140" s="19"/>
      <c r="F140" s="9"/>
      <c r="G140" s="21">
        <f>Source!AL124</f>
        <v>0.63</v>
      </c>
      <c r="H140" s="20" t="str">
        <f>Source!DD124</f>
        <v/>
      </c>
      <c r="I140" s="9">
        <f>Source!AW124</f>
        <v>1</v>
      </c>
      <c r="J140" s="9">
        <f>IF(Source!BC124&lt;&gt; 0, Source!BC124, 1)</f>
        <v>1</v>
      </c>
      <c r="K140" s="21">
        <f>Source!P124</f>
        <v>0.06</v>
      </c>
      <c r="L140" s="21"/>
    </row>
    <row r="141" spans="1:22" ht="14.25" x14ac:dyDescent="0.2">
      <c r="A141" s="18"/>
      <c r="B141" s="18"/>
      <c r="C141" s="18"/>
      <c r="D141" s="18" t="s">
        <v>733</v>
      </c>
      <c r="E141" s="19" t="s">
        <v>734</v>
      </c>
      <c r="F141" s="9">
        <f>Source!AT124</f>
        <v>70</v>
      </c>
      <c r="G141" s="21"/>
      <c r="H141" s="20"/>
      <c r="I141" s="9"/>
      <c r="J141" s="9"/>
      <c r="K141" s="21">
        <f>SUM(R137:R140)</f>
        <v>65.7</v>
      </c>
      <c r="L141" s="21"/>
    </row>
    <row r="142" spans="1:22" ht="14.25" x14ac:dyDescent="0.2">
      <c r="A142" s="18"/>
      <c r="B142" s="18"/>
      <c r="C142" s="18"/>
      <c r="D142" s="18" t="s">
        <v>735</v>
      </c>
      <c r="E142" s="19" t="s">
        <v>734</v>
      </c>
      <c r="F142" s="9">
        <f>Source!AU124</f>
        <v>10</v>
      </c>
      <c r="G142" s="21"/>
      <c r="H142" s="20"/>
      <c r="I142" s="9"/>
      <c r="J142" s="9"/>
      <c r="K142" s="21">
        <f>SUM(T137:T141)</f>
        <v>9.39</v>
      </c>
      <c r="L142" s="21"/>
    </row>
    <row r="143" spans="1:22" ht="14.25" x14ac:dyDescent="0.2">
      <c r="A143" s="18"/>
      <c r="B143" s="18"/>
      <c r="C143" s="18"/>
      <c r="D143" s="18" t="s">
        <v>736</v>
      </c>
      <c r="E143" s="19" t="s">
        <v>737</v>
      </c>
      <c r="F143" s="9">
        <f>Source!AQ124</f>
        <v>1.52</v>
      </c>
      <c r="G143" s="21"/>
      <c r="H143" s="20" t="str">
        <f>Source!DI124</f>
        <v/>
      </c>
      <c r="I143" s="9">
        <f>Source!AV124</f>
        <v>1</v>
      </c>
      <c r="J143" s="9"/>
      <c r="K143" s="21"/>
      <c r="L143" s="21">
        <f>Source!U124</f>
        <v>0.15200000000000002</v>
      </c>
    </row>
    <row r="144" spans="1:22" ht="1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51">
        <f>K139+K140+K141+K142</f>
        <v>169.01</v>
      </c>
      <c r="K144" s="51"/>
      <c r="L144" s="24">
        <f>IF(Source!I124&lt;&gt;0, ROUND(J144/Source!I124, 2), 0)</f>
        <v>1690.1</v>
      </c>
      <c r="P144" s="22">
        <f>J144</f>
        <v>169.01</v>
      </c>
    </row>
    <row r="145" spans="1:22" ht="42.75" x14ac:dyDescent="0.2">
      <c r="A145" s="18">
        <v>13</v>
      </c>
      <c r="B145" s="18">
        <v>13</v>
      </c>
      <c r="C145" s="18" t="str">
        <f>Source!F126</f>
        <v>1.15-2203-7-1/1</v>
      </c>
      <c r="D145" s="18" t="str">
        <f>Source!G126</f>
        <v>Техническое обслуживание крана шарового латунного никелированного диаметром до 25 мм</v>
      </c>
      <c r="E145" s="19" t="str">
        <f>Source!H126</f>
        <v>10 шт.</v>
      </c>
      <c r="F145" s="9">
        <f>Source!I126</f>
        <v>0.4</v>
      </c>
      <c r="G145" s="21"/>
      <c r="H145" s="20"/>
      <c r="I145" s="9"/>
      <c r="J145" s="9"/>
      <c r="K145" s="21"/>
      <c r="L145" s="21"/>
      <c r="Q145">
        <f>ROUND((Source!BZ126/100)*ROUND((Source!AF126*Source!AV126)*Source!I126, 2), 2)</f>
        <v>77.81</v>
      </c>
      <c r="R145">
        <f>Source!X126</f>
        <v>77.81</v>
      </c>
      <c r="S145">
        <f>ROUND((Source!CA126/100)*ROUND((Source!AF126*Source!AV126)*Source!I126, 2), 2)</f>
        <v>11.12</v>
      </c>
      <c r="T145">
        <f>Source!Y126</f>
        <v>11.12</v>
      </c>
      <c r="U145">
        <f>ROUND((175/100)*ROUND((Source!AE126*Source!AV126)*Source!I126, 2), 2)</f>
        <v>0</v>
      </c>
      <c r="V145">
        <f>ROUND((108/100)*ROUND(Source!CS126*Source!I126, 2), 2)</f>
        <v>0</v>
      </c>
    </row>
    <row r="146" spans="1:22" x14ac:dyDescent="0.2">
      <c r="D146" s="25" t="str">
        <f>"Объем: "&amp;Source!I126&amp;"=(2+"&amp;"2)/"&amp;"10"</f>
        <v>Объем: 0,4=(2+2)/10</v>
      </c>
    </row>
    <row r="147" spans="1:22" ht="14.25" x14ac:dyDescent="0.2">
      <c r="A147" s="18"/>
      <c r="B147" s="18"/>
      <c r="C147" s="18"/>
      <c r="D147" s="18" t="s">
        <v>731</v>
      </c>
      <c r="E147" s="19"/>
      <c r="F147" s="9"/>
      <c r="G147" s="21">
        <f>Source!AO126</f>
        <v>277.87</v>
      </c>
      <c r="H147" s="20" t="str">
        <f>Source!DG126</f>
        <v/>
      </c>
      <c r="I147" s="9">
        <f>Source!AV126</f>
        <v>1</v>
      </c>
      <c r="J147" s="9">
        <f>IF(Source!BA126&lt;&gt; 0, Source!BA126, 1)</f>
        <v>1</v>
      </c>
      <c r="K147" s="21">
        <f>Source!S126</f>
        <v>111.15</v>
      </c>
      <c r="L147" s="21"/>
    </row>
    <row r="148" spans="1:22" ht="14.25" x14ac:dyDescent="0.2">
      <c r="A148" s="18"/>
      <c r="B148" s="18"/>
      <c r="C148" s="18"/>
      <c r="D148" s="18" t="s">
        <v>733</v>
      </c>
      <c r="E148" s="19" t="s">
        <v>734</v>
      </c>
      <c r="F148" s="9">
        <f>Source!AT126</f>
        <v>70</v>
      </c>
      <c r="G148" s="21"/>
      <c r="H148" s="20"/>
      <c r="I148" s="9"/>
      <c r="J148" s="9"/>
      <c r="K148" s="21">
        <f>SUM(R145:R147)</f>
        <v>77.81</v>
      </c>
      <c r="L148" s="21"/>
    </row>
    <row r="149" spans="1:22" ht="14.25" x14ac:dyDescent="0.2">
      <c r="A149" s="18"/>
      <c r="B149" s="18"/>
      <c r="C149" s="18"/>
      <c r="D149" s="18" t="s">
        <v>735</v>
      </c>
      <c r="E149" s="19" t="s">
        <v>734</v>
      </c>
      <c r="F149" s="9">
        <f>Source!AU126</f>
        <v>10</v>
      </c>
      <c r="G149" s="21"/>
      <c r="H149" s="20"/>
      <c r="I149" s="9"/>
      <c r="J149" s="9"/>
      <c r="K149" s="21">
        <f>SUM(T145:T148)</f>
        <v>11.12</v>
      </c>
      <c r="L149" s="21"/>
    </row>
    <row r="150" spans="1:22" ht="14.25" x14ac:dyDescent="0.2">
      <c r="A150" s="18"/>
      <c r="B150" s="18"/>
      <c r="C150" s="18"/>
      <c r="D150" s="18" t="s">
        <v>736</v>
      </c>
      <c r="E150" s="19" t="s">
        <v>737</v>
      </c>
      <c r="F150" s="9">
        <f>Source!AQ126</f>
        <v>0.45</v>
      </c>
      <c r="G150" s="21"/>
      <c r="H150" s="20" t="str">
        <f>Source!DI126</f>
        <v/>
      </c>
      <c r="I150" s="9">
        <f>Source!AV126</f>
        <v>1</v>
      </c>
      <c r="J150" s="9"/>
      <c r="K150" s="21"/>
      <c r="L150" s="21">
        <f>Source!U126</f>
        <v>0.18000000000000002</v>
      </c>
    </row>
    <row r="151" spans="1:22" ht="1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51">
        <f>K147+K148+K149</f>
        <v>200.08</v>
      </c>
      <c r="K151" s="51"/>
      <c r="L151" s="24">
        <f>IF(Source!I126&lt;&gt;0, ROUND(J151/Source!I126, 2), 0)</f>
        <v>500.2</v>
      </c>
      <c r="P151" s="22">
        <f>J151</f>
        <v>200.08</v>
      </c>
    </row>
    <row r="152" spans="1:22" ht="42.75" x14ac:dyDescent="0.2">
      <c r="A152" s="18">
        <v>14</v>
      </c>
      <c r="B152" s="18">
        <v>14</v>
      </c>
      <c r="C152" s="18" t="str">
        <f>Source!F127</f>
        <v>1.15-2303-5-3/1</v>
      </c>
      <c r="D152" s="18" t="str">
        <f>Source!G127</f>
        <v>Техническое обслуживание фильтров водяных фланцевых сетчатых диаметром до 150 мм</v>
      </c>
      <c r="E152" s="19" t="str">
        <f>Source!H127</f>
        <v>10 шт.</v>
      </c>
      <c r="F152" s="9">
        <f>Source!I127</f>
        <v>0.1</v>
      </c>
      <c r="G152" s="21"/>
      <c r="H152" s="20"/>
      <c r="I152" s="9"/>
      <c r="J152" s="9"/>
      <c r="K152" s="21"/>
      <c r="L152" s="21"/>
      <c r="Q152">
        <f>ROUND((Source!BZ127/100)*ROUND((Source!AF127*Source!AV127)*Source!I127, 2), 2)</f>
        <v>221.94</v>
      </c>
      <c r="R152">
        <f>Source!X127</f>
        <v>221.94</v>
      </c>
      <c r="S152">
        <f>ROUND((Source!CA127/100)*ROUND((Source!AF127*Source!AV127)*Source!I127, 2), 2)</f>
        <v>31.71</v>
      </c>
      <c r="T152">
        <f>Source!Y127</f>
        <v>31.71</v>
      </c>
      <c r="U152">
        <f>ROUND((175/100)*ROUND((Source!AE127*Source!AV127)*Source!I127, 2), 2)</f>
        <v>0</v>
      </c>
      <c r="V152">
        <f>ROUND((108/100)*ROUND(Source!CS127*Source!I127, 2), 2)</f>
        <v>0</v>
      </c>
    </row>
    <row r="153" spans="1:22" x14ac:dyDescent="0.2">
      <c r="D153" s="25" t="str">
        <f>"Объем: "&amp;Source!I127&amp;"=1/"&amp;"10"</f>
        <v>Объем: 0,1=1/10</v>
      </c>
    </row>
    <row r="154" spans="1:22" ht="14.25" x14ac:dyDescent="0.2">
      <c r="A154" s="18"/>
      <c r="B154" s="18"/>
      <c r="C154" s="18"/>
      <c r="D154" s="18" t="s">
        <v>731</v>
      </c>
      <c r="E154" s="19"/>
      <c r="F154" s="9"/>
      <c r="G154" s="21">
        <f>Source!AO127</f>
        <v>3170.64</v>
      </c>
      <c r="H154" s="20" t="str">
        <f>Source!DG127</f>
        <v/>
      </c>
      <c r="I154" s="9">
        <f>Source!AV127</f>
        <v>1</v>
      </c>
      <c r="J154" s="9">
        <f>IF(Source!BA127&lt;&gt; 0, Source!BA127, 1)</f>
        <v>1</v>
      </c>
      <c r="K154" s="21">
        <f>Source!S127</f>
        <v>317.06</v>
      </c>
      <c r="L154" s="21"/>
    </row>
    <row r="155" spans="1:22" ht="14.25" x14ac:dyDescent="0.2">
      <c r="A155" s="18"/>
      <c r="B155" s="18"/>
      <c r="C155" s="18"/>
      <c r="D155" s="18" t="s">
        <v>732</v>
      </c>
      <c r="E155" s="19"/>
      <c r="F155" s="9"/>
      <c r="G155" s="21">
        <f>Source!AL127</f>
        <v>1.57</v>
      </c>
      <c r="H155" s="20" t="str">
        <f>Source!DD127</f>
        <v/>
      </c>
      <c r="I155" s="9">
        <f>Source!AW127</f>
        <v>1</v>
      </c>
      <c r="J155" s="9">
        <f>IF(Source!BC127&lt;&gt; 0, Source!BC127, 1)</f>
        <v>1</v>
      </c>
      <c r="K155" s="21">
        <f>Source!P127</f>
        <v>0.16</v>
      </c>
      <c r="L155" s="21"/>
    </row>
    <row r="156" spans="1:22" ht="57" x14ac:dyDescent="0.2">
      <c r="A156" s="18" t="s">
        <v>171</v>
      </c>
      <c r="B156" s="18" t="s">
        <v>171</v>
      </c>
      <c r="C156" s="18" t="str">
        <f>Source!F128</f>
        <v>21.26-1-112</v>
      </c>
      <c r="D156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E156" s="19" t="str">
        <f>Source!H128</f>
        <v>шт.</v>
      </c>
      <c r="F156" s="9">
        <f>Source!I128</f>
        <v>4</v>
      </c>
      <c r="G156" s="21">
        <f>Source!AK128</f>
        <v>388.06</v>
      </c>
      <c r="H156" s="28" t="s">
        <v>3</v>
      </c>
      <c r="I156" s="9">
        <f>Source!AW128</f>
        <v>1</v>
      </c>
      <c r="J156" s="9">
        <f>IF(Source!BC128&lt;&gt; 0, Source!BC128, 1)</f>
        <v>1</v>
      </c>
      <c r="K156" s="21">
        <f>Source!O128</f>
        <v>1552.24</v>
      </c>
      <c r="L156" s="21"/>
      <c r="Q156">
        <f>ROUND((Source!BZ128/100)*ROUND((Source!AF128*Source!AV128)*Source!I128, 2), 2)</f>
        <v>0</v>
      </c>
      <c r="R156">
        <f>Source!X128</f>
        <v>0</v>
      </c>
      <c r="S156">
        <f>ROUND((Source!CA128/100)*ROUND((Source!AF128*Source!AV128)*Source!I128, 2), 2)</f>
        <v>0</v>
      </c>
      <c r="T156">
        <f>Source!Y128</f>
        <v>0</v>
      </c>
      <c r="U156">
        <f>ROUND((175/100)*ROUND((Source!AE128*Source!AV128)*Source!I128, 2), 2)</f>
        <v>0</v>
      </c>
      <c r="V156">
        <f>ROUND((108/100)*ROUND(Source!CS128*Source!I128, 2), 2)</f>
        <v>0</v>
      </c>
    </row>
    <row r="157" spans="1:22" ht="14.25" x14ac:dyDescent="0.2">
      <c r="A157" s="18"/>
      <c r="B157" s="18"/>
      <c r="C157" s="18"/>
      <c r="D157" s="18" t="s">
        <v>733</v>
      </c>
      <c r="E157" s="19" t="s">
        <v>734</v>
      </c>
      <c r="F157" s="9">
        <f>Source!AT127</f>
        <v>70</v>
      </c>
      <c r="G157" s="21"/>
      <c r="H157" s="20"/>
      <c r="I157" s="9"/>
      <c r="J157" s="9"/>
      <c r="K157" s="21">
        <f>SUM(R152:R156)</f>
        <v>221.94</v>
      </c>
      <c r="L157" s="21"/>
    </row>
    <row r="158" spans="1:22" ht="14.25" x14ac:dyDescent="0.2">
      <c r="A158" s="18"/>
      <c r="B158" s="18"/>
      <c r="C158" s="18"/>
      <c r="D158" s="18" t="s">
        <v>735</v>
      </c>
      <c r="E158" s="19" t="s">
        <v>734</v>
      </c>
      <c r="F158" s="9">
        <f>Source!AU127</f>
        <v>10</v>
      </c>
      <c r="G158" s="21"/>
      <c r="H158" s="20"/>
      <c r="I158" s="9"/>
      <c r="J158" s="9"/>
      <c r="K158" s="21">
        <f>SUM(T152:T157)</f>
        <v>31.71</v>
      </c>
      <c r="L158" s="21"/>
    </row>
    <row r="159" spans="1:22" ht="14.25" x14ac:dyDescent="0.2">
      <c r="A159" s="18"/>
      <c r="B159" s="18"/>
      <c r="C159" s="18"/>
      <c r="D159" s="18" t="s">
        <v>736</v>
      </c>
      <c r="E159" s="19" t="s">
        <v>737</v>
      </c>
      <c r="F159" s="9">
        <f>Source!AQ127</f>
        <v>5.64</v>
      </c>
      <c r="G159" s="21"/>
      <c r="H159" s="20" t="str">
        <f>Source!DI127</f>
        <v/>
      </c>
      <c r="I159" s="9">
        <f>Source!AV127</f>
        <v>1</v>
      </c>
      <c r="J159" s="9"/>
      <c r="K159" s="21"/>
      <c r="L159" s="21">
        <f>Source!U127</f>
        <v>0.56399999999999995</v>
      </c>
    </row>
    <row r="160" spans="1:22" ht="15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51">
        <f>K154+K155+K157+K158+SUM(K156:K156)</f>
        <v>2123.11</v>
      </c>
      <c r="K160" s="51"/>
      <c r="L160" s="24">
        <f>IF(Source!I127&lt;&gt;0, ROUND(J160/Source!I127, 2), 0)</f>
        <v>21231.1</v>
      </c>
      <c r="P160" s="22">
        <f>J160</f>
        <v>2123.11</v>
      </c>
    </row>
    <row r="161" spans="1:22" ht="85.5" x14ac:dyDescent="0.2">
      <c r="A161" s="18">
        <v>15</v>
      </c>
      <c r="B161" s="18">
        <v>15</v>
      </c>
      <c r="C161" s="18" t="str">
        <f>Source!F129</f>
        <v>1.23-2103-21-1/1</v>
      </c>
      <c r="D161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E161" s="19" t="str">
        <f>Source!H129</f>
        <v>шт.</v>
      </c>
      <c r="F161" s="9">
        <f>Source!I129</f>
        <v>1</v>
      </c>
      <c r="G161" s="21"/>
      <c r="H161" s="20"/>
      <c r="I161" s="9"/>
      <c r="J161" s="9"/>
      <c r="K161" s="21"/>
      <c r="L161" s="21"/>
      <c r="Q161">
        <f>ROUND((Source!BZ129/100)*ROUND((Source!AF129*Source!AV129)*Source!I129, 2), 2)</f>
        <v>894.17</v>
      </c>
      <c r="R161">
        <f>Source!X129</f>
        <v>894.17</v>
      </c>
      <c r="S161">
        <f>ROUND((Source!CA129/100)*ROUND((Source!AF129*Source!AV129)*Source!I129, 2), 2)</f>
        <v>127.74</v>
      </c>
      <c r="T161">
        <f>Source!Y129</f>
        <v>127.74</v>
      </c>
      <c r="U161">
        <f>ROUND((175/100)*ROUND((Source!AE129*Source!AV129)*Source!I129, 2), 2)</f>
        <v>0</v>
      </c>
      <c r="V161">
        <f>ROUND((108/100)*ROUND(Source!CS129*Source!I129, 2), 2)</f>
        <v>0</v>
      </c>
    </row>
    <row r="162" spans="1:22" ht="14.25" x14ac:dyDescent="0.2">
      <c r="A162" s="18"/>
      <c r="B162" s="18"/>
      <c r="C162" s="18"/>
      <c r="D162" s="18" t="s">
        <v>731</v>
      </c>
      <c r="E162" s="19"/>
      <c r="F162" s="9"/>
      <c r="G162" s="21">
        <f>Source!AO129</f>
        <v>638.69000000000005</v>
      </c>
      <c r="H162" s="20" t="str">
        <f>Source!DG129</f>
        <v>)*2</v>
      </c>
      <c r="I162" s="9">
        <f>Source!AV129</f>
        <v>1</v>
      </c>
      <c r="J162" s="9">
        <f>IF(Source!BA129&lt;&gt; 0, Source!BA129, 1)</f>
        <v>1</v>
      </c>
      <c r="K162" s="21">
        <f>Source!S129</f>
        <v>1277.3800000000001</v>
      </c>
      <c r="L162" s="21"/>
    </row>
    <row r="163" spans="1:22" ht="14.25" x14ac:dyDescent="0.2">
      <c r="A163" s="18"/>
      <c r="B163" s="18"/>
      <c r="C163" s="18"/>
      <c r="D163" s="18" t="s">
        <v>732</v>
      </c>
      <c r="E163" s="19"/>
      <c r="F163" s="9"/>
      <c r="G163" s="21">
        <f>Source!AL129</f>
        <v>19.14</v>
      </c>
      <c r="H163" s="20" t="str">
        <f>Source!DD129</f>
        <v>)*2</v>
      </c>
      <c r="I163" s="9">
        <f>Source!AW129</f>
        <v>1</v>
      </c>
      <c r="J163" s="9">
        <f>IF(Source!BC129&lt;&gt; 0, Source!BC129, 1)</f>
        <v>1</v>
      </c>
      <c r="K163" s="21">
        <f>Source!P129</f>
        <v>38.28</v>
      </c>
      <c r="L163" s="21"/>
    </row>
    <row r="164" spans="1:22" ht="14.25" x14ac:dyDescent="0.2">
      <c r="A164" s="18"/>
      <c r="B164" s="18"/>
      <c r="C164" s="18"/>
      <c r="D164" s="18" t="s">
        <v>733</v>
      </c>
      <c r="E164" s="19" t="s">
        <v>734</v>
      </c>
      <c r="F164" s="9">
        <f>Source!AT129</f>
        <v>70</v>
      </c>
      <c r="G164" s="21"/>
      <c r="H164" s="20"/>
      <c r="I164" s="9"/>
      <c r="J164" s="9"/>
      <c r="K164" s="21">
        <f>SUM(R161:R163)</f>
        <v>894.17</v>
      </c>
      <c r="L164" s="21"/>
    </row>
    <row r="165" spans="1:22" ht="14.25" x14ac:dyDescent="0.2">
      <c r="A165" s="18"/>
      <c r="B165" s="18"/>
      <c r="C165" s="18"/>
      <c r="D165" s="18" t="s">
        <v>735</v>
      </c>
      <c r="E165" s="19" t="s">
        <v>734</v>
      </c>
      <c r="F165" s="9">
        <f>Source!AU129</f>
        <v>10</v>
      </c>
      <c r="G165" s="21"/>
      <c r="H165" s="20"/>
      <c r="I165" s="9"/>
      <c r="J165" s="9"/>
      <c r="K165" s="21">
        <f>SUM(T161:T164)</f>
        <v>127.74</v>
      </c>
      <c r="L165" s="21"/>
    </row>
    <row r="166" spans="1:22" ht="14.25" x14ac:dyDescent="0.2">
      <c r="A166" s="18"/>
      <c r="B166" s="18"/>
      <c r="C166" s="18"/>
      <c r="D166" s="18" t="s">
        <v>736</v>
      </c>
      <c r="E166" s="19" t="s">
        <v>737</v>
      </c>
      <c r="F166" s="9">
        <f>Source!AQ129</f>
        <v>0.77</v>
      </c>
      <c r="G166" s="21"/>
      <c r="H166" s="20" t="str">
        <f>Source!DI129</f>
        <v>)*2</v>
      </c>
      <c r="I166" s="9">
        <f>Source!AV129</f>
        <v>1</v>
      </c>
      <c r="J166" s="9"/>
      <c r="K166" s="21"/>
      <c r="L166" s="21">
        <f>Source!U129</f>
        <v>1.54</v>
      </c>
    </row>
    <row r="167" spans="1:22" ht="15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51">
        <f>K162+K163+K164+K165</f>
        <v>2337.5699999999997</v>
      </c>
      <c r="K167" s="51"/>
      <c r="L167" s="24">
        <f>IF(Source!I129&lt;&gt;0, ROUND(J167/Source!I129, 2), 0)</f>
        <v>2337.5700000000002</v>
      </c>
      <c r="P167" s="22">
        <f>J167</f>
        <v>2337.5699999999997</v>
      </c>
    </row>
    <row r="169" spans="1:22" ht="15" x14ac:dyDescent="0.25">
      <c r="C169" s="52" t="str">
        <f>Source!G130</f>
        <v>Стандартный насосный узел смешения серии АУУ-С-065-065-С-R V2</v>
      </c>
      <c r="D169" s="52"/>
      <c r="E169" s="52"/>
      <c r="F169" s="52"/>
      <c r="G169" s="52"/>
      <c r="H169" s="52"/>
      <c r="I169" s="52"/>
      <c r="J169" s="52"/>
      <c r="K169" s="52"/>
    </row>
    <row r="170" spans="1:22" ht="71.25" x14ac:dyDescent="0.2">
      <c r="A170" s="18">
        <v>16</v>
      </c>
      <c r="B170" s="18">
        <v>16</v>
      </c>
      <c r="C170" s="18" t="str">
        <f>Source!F134</f>
        <v>1.23-2103-9-7/1</v>
      </c>
      <c r="D170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170" s="19" t="str">
        <f>Source!H134</f>
        <v>шт.</v>
      </c>
      <c r="F170" s="9">
        <f>Source!I134</f>
        <v>3</v>
      </c>
      <c r="G170" s="21"/>
      <c r="H170" s="20"/>
      <c r="I170" s="9"/>
      <c r="J170" s="9"/>
      <c r="K170" s="21"/>
      <c r="L170" s="21"/>
      <c r="Q170">
        <f>ROUND((Source!BZ134/100)*ROUND((Source!AF134*Source!AV134)*Source!I134, 2), 2)</f>
        <v>2074.7600000000002</v>
      </c>
      <c r="R170">
        <f>Source!X134</f>
        <v>2074.7600000000002</v>
      </c>
      <c r="S170">
        <f>ROUND((Source!CA134/100)*ROUND((Source!AF134*Source!AV134)*Source!I134, 2), 2)</f>
        <v>296.39</v>
      </c>
      <c r="T170">
        <f>Source!Y134</f>
        <v>296.39</v>
      </c>
      <c r="U170">
        <f>ROUND((175/100)*ROUND((Source!AE134*Source!AV134)*Source!I134, 2), 2)</f>
        <v>0</v>
      </c>
      <c r="V170">
        <f>ROUND((108/100)*ROUND(Source!CS134*Source!I134, 2), 2)</f>
        <v>0</v>
      </c>
    </row>
    <row r="171" spans="1:22" x14ac:dyDescent="0.2">
      <c r="D171" s="25" t="str">
        <f>"Объем: "&amp;Source!I134&amp;"=2+"&amp;"1"</f>
        <v>Объем: 3=2+1</v>
      </c>
    </row>
    <row r="172" spans="1:22" ht="14.25" x14ac:dyDescent="0.2">
      <c r="A172" s="18"/>
      <c r="B172" s="18"/>
      <c r="C172" s="18"/>
      <c r="D172" s="18" t="s">
        <v>731</v>
      </c>
      <c r="E172" s="19"/>
      <c r="F172" s="9"/>
      <c r="G172" s="21">
        <f>Source!AO134</f>
        <v>493.99</v>
      </c>
      <c r="H172" s="20" t="str">
        <f>Source!DG134</f>
        <v>)*2</v>
      </c>
      <c r="I172" s="9">
        <f>Source!AV134</f>
        <v>1</v>
      </c>
      <c r="J172" s="9">
        <f>IF(Source!BA134&lt;&gt; 0, Source!BA134, 1)</f>
        <v>1</v>
      </c>
      <c r="K172" s="21">
        <f>Source!S134</f>
        <v>2963.94</v>
      </c>
      <c r="L172" s="21"/>
    </row>
    <row r="173" spans="1:22" ht="14.25" x14ac:dyDescent="0.2">
      <c r="A173" s="18"/>
      <c r="B173" s="18"/>
      <c r="C173" s="18"/>
      <c r="D173" s="18" t="s">
        <v>733</v>
      </c>
      <c r="E173" s="19" t="s">
        <v>734</v>
      </c>
      <c r="F173" s="9">
        <f>Source!AT134</f>
        <v>70</v>
      </c>
      <c r="G173" s="21"/>
      <c r="H173" s="20"/>
      <c r="I173" s="9"/>
      <c r="J173" s="9"/>
      <c r="K173" s="21">
        <f>SUM(R170:R172)</f>
        <v>2074.7600000000002</v>
      </c>
      <c r="L173" s="21"/>
    </row>
    <row r="174" spans="1:22" ht="14.25" x14ac:dyDescent="0.2">
      <c r="A174" s="18"/>
      <c r="B174" s="18"/>
      <c r="C174" s="18"/>
      <c r="D174" s="18" t="s">
        <v>735</v>
      </c>
      <c r="E174" s="19" t="s">
        <v>734</v>
      </c>
      <c r="F174" s="9">
        <f>Source!AU134</f>
        <v>10</v>
      </c>
      <c r="G174" s="21"/>
      <c r="H174" s="20"/>
      <c r="I174" s="9"/>
      <c r="J174" s="9"/>
      <c r="K174" s="21">
        <f>SUM(T170:T173)</f>
        <v>296.39</v>
      </c>
      <c r="L174" s="21"/>
    </row>
    <row r="175" spans="1:22" ht="14.25" x14ac:dyDescent="0.2">
      <c r="A175" s="18"/>
      <c r="B175" s="18"/>
      <c r="C175" s="18"/>
      <c r="D175" s="18" t="s">
        <v>736</v>
      </c>
      <c r="E175" s="19" t="s">
        <v>737</v>
      </c>
      <c r="F175" s="9">
        <f>Source!AQ134</f>
        <v>0.8</v>
      </c>
      <c r="G175" s="21"/>
      <c r="H175" s="20" t="str">
        <f>Source!DI134</f>
        <v>)*2</v>
      </c>
      <c r="I175" s="9">
        <f>Source!AV134</f>
        <v>1</v>
      </c>
      <c r="J175" s="9"/>
      <c r="K175" s="21"/>
      <c r="L175" s="21">
        <f>Source!U134</f>
        <v>4.8000000000000007</v>
      </c>
    </row>
    <row r="176" spans="1:22" ht="1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51">
        <f>K172+K173+K174</f>
        <v>5335.0900000000011</v>
      </c>
      <c r="K176" s="51"/>
      <c r="L176" s="24">
        <f>IF(Source!I134&lt;&gt;0, ROUND(J176/Source!I134, 2), 0)</f>
        <v>1778.36</v>
      </c>
      <c r="P176" s="22">
        <f>J176</f>
        <v>5335.0900000000011</v>
      </c>
    </row>
    <row r="177" spans="1:22" ht="42.75" x14ac:dyDescent="0.2">
      <c r="A177" s="18">
        <v>17</v>
      </c>
      <c r="B177" s="18">
        <v>17</v>
      </c>
      <c r="C177" s="18" t="str">
        <f>Source!F135</f>
        <v>1.15-2203-9-2/1</v>
      </c>
      <c r="D177" s="18" t="str">
        <f>Source!G135</f>
        <v>Техническое обслуживание клапанов обратных фланцевых диаметром 100-150 мм</v>
      </c>
      <c r="E177" s="19" t="str">
        <f>Source!H135</f>
        <v>шт.</v>
      </c>
      <c r="F177" s="9">
        <f>Source!I135</f>
        <v>3</v>
      </c>
      <c r="G177" s="21"/>
      <c r="H177" s="20"/>
      <c r="I177" s="9"/>
      <c r="J177" s="9"/>
      <c r="K177" s="21"/>
      <c r="L177" s="21"/>
      <c r="Q177">
        <f>ROUND((Source!BZ135/100)*ROUND((Source!AF135*Source!AV135)*Source!I135, 2), 2)</f>
        <v>259.70999999999998</v>
      </c>
      <c r="R177">
        <f>Source!X135</f>
        <v>259.70999999999998</v>
      </c>
      <c r="S177">
        <f>ROUND((Source!CA135/100)*ROUND((Source!AF135*Source!AV135)*Source!I135, 2), 2)</f>
        <v>37.1</v>
      </c>
      <c r="T177">
        <f>Source!Y135</f>
        <v>37.1</v>
      </c>
      <c r="U177">
        <f>ROUND((175/100)*ROUND((Source!AE135*Source!AV135)*Source!I135, 2), 2)</f>
        <v>0</v>
      </c>
      <c r="V177">
        <f>ROUND((108/100)*ROUND(Source!CS135*Source!I135, 2), 2)</f>
        <v>0</v>
      </c>
    </row>
    <row r="178" spans="1:22" x14ac:dyDescent="0.2">
      <c r="D178" s="25" t="str">
        <f>"Объем: "&amp;Source!I135&amp;"=1+"&amp;"2"</f>
        <v>Объем: 3=1+2</v>
      </c>
    </row>
    <row r="179" spans="1:22" ht="14.25" x14ac:dyDescent="0.2">
      <c r="A179" s="18"/>
      <c r="B179" s="18"/>
      <c r="C179" s="18"/>
      <c r="D179" s="18" t="s">
        <v>731</v>
      </c>
      <c r="E179" s="19"/>
      <c r="F179" s="9"/>
      <c r="G179" s="21">
        <f>Source!AO135</f>
        <v>123.67</v>
      </c>
      <c r="H179" s="20" t="str">
        <f>Source!DG135</f>
        <v/>
      </c>
      <c r="I179" s="9">
        <f>Source!AV135</f>
        <v>1</v>
      </c>
      <c r="J179" s="9">
        <f>IF(Source!BA135&lt;&gt; 0, Source!BA135, 1)</f>
        <v>1</v>
      </c>
      <c r="K179" s="21">
        <f>Source!S135</f>
        <v>371.01</v>
      </c>
      <c r="L179" s="21"/>
    </row>
    <row r="180" spans="1:22" ht="14.25" x14ac:dyDescent="0.2">
      <c r="A180" s="18"/>
      <c r="B180" s="18"/>
      <c r="C180" s="18"/>
      <c r="D180" s="18" t="s">
        <v>732</v>
      </c>
      <c r="E180" s="19"/>
      <c r="F180" s="9"/>
      <c r="G180" s="21">
        <f>Source!AL135</f>
        <v>0.63</v>
      </c>
      <c r="H180" s="20" t="str">
        <f>Source!DD135</f>
        <v/>
      </c>
      <c r="I180" s="9">
        <f>Source!AW135</f>
        <v>1</v>
      </c>
      <c r="J180" s="9">
        <f>IF(Source!BC135&lt;&gt; 0, Source!BC135, 1)</f>
        <v>1</v>
      </c>
      <c r="K180" s="21">
        <f>Source!P135</f>
        <v>1.89</v>
      </c>
      <c r="L180" s="21"/>
    </row>
    <row r="181" spans="1:22" ht="14.25" x14ac:dyDescent="0.2">
      <c r="A181" s="18"/>
      <c r="B181" s="18"/>
      <c r="C181" s="18"/>
      <c r="D181" s="18" t="s">
        <v>733</v>
      </c>
      <c r="E181" s="19" t="s">
        <v>734</v>
      </c>
      <c r="F181" s="9">
        <f>Source!AT135</f>
        <v>70</v>
      </c>
      <c r="G181" s="21"/>
      <c r="H181" s="20"/>
      <c r="I181" s="9"/>
      <c r="J181" s="9"/>
      <c r="K181" s="21">
        <f>SUM(R177:R180)</f>
        <v>259.70999999999998</v>
      </c>
      <c r="L181" s="21"/>
    </row>
    <row r="182" spans="1:22" ht="14.25" x14ac:dyDescent="0.2">
      <c r="A182" s="18"/>
      <c r="B182" s="18"/>
      <c r="C182" s="18"/>
      <c r="D182" s="18" t="s">
        <v>735</v>
      </c>
      <c r="E182" s="19" t="s">
        <v>734</v>
      </c>
      <c r="F182" s="9">
        <f>Source!AU135</f>
        <v>10</v>
      </c>
      <c r="G182" s="21"/>
      <c r="H182" s="20"/>
      <c r="I182" s="9"/>
      <c r="J182" s="9"/>
      <c r="K182" s="21">
        <f>SUM(T177:T181)</f>
        <v>37.1</v>
      </c>
      <c r="L182" s="21"/>
    </row>
    <row r="183" spans="1:22" ht="14.25" x14ac:dyDescent="0.2">
      <c r="A183" s="18"/>
      <c r="B183" s="18"/>
      <c r="C183" s="18"/>
      <c r="D183" s="18" t="s">
        <v>736</v>
      </c>
      <c r="E183" s="19" t="s">
        <v>737</v>
      </c>
      <c r="F183" s="9">
        <f>Source!AQ135</f>
        <v>0.22</v>
      </c>
      <c r="G183" s="21"/>
      <c r="H183" s="20" t="str">
        <f>Source!DI135</f>
        <v/>
      </c>
      <c r="I183" s="9">
        <f>Source!AV135</f>
        <v>1</v>
      </c>
      <c r="J183" s="9"/>
      <c r="K183" s="21"/>
      <c r="L183" s="21">
        <f>Source!U135</f>
        <v>0.66</v>
      </c>
    </row>
    <row r="184" spans="1:22" ht="15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51">
        <f>K179+K180+K181+K182</f>
        <v>669.70999999999992</v>
      </c>
      <c r="K184" s="51"/>
      <c r="L184" s="24">
        <f>IF(Source!I135&lt;&gt;0, ROUND(J184/Source!I135, 2), 0)</f>
        <v>223.24</v>
      </c>
      <c r="P184" s="22">
        <f>J184</f>
        <v>669.70999999999992</v>
      </c>
    </row>
    <row r="185" spans="1:22" ht="42.75" x14ac:dyDescent="0.2">
      <c r="A185" s="18">
        <v>18</v>
      </c>
      <c r="B185" s="18">
        <v>18</v>
      </c>
      <c r="C185" s="18" t="str">
        <f>Source!F136</f>
        <v>1.23-2103-41-1/1</v>
      </c>
      <c r="D185" s="18" t="str">
        <f>Source!G136</f>
        <v>Техническое обслуживание регулирующего клапана / Трехходовой регулирующий клапан  Данфосс</v>
      </c>
      <c r="E185" s="19" t="str">
        <f>Source!H136</f>
        <v>шт.</v>
      </c>
      <c r="F185" s="9">
        <f>Source!I136</f>
        <v>1</v>
      </c>
      <c r="G185" s="21"/>
      <c r="H185" s="20"/>
      <c r="I185" s="9"/>
      <c r="J185" s="9"/>
      <c r="K185" s="21"/>
      <c r="L185" s="21"/>
      <c r="Q185">
        <f>ROUND((Source!BZ136/100)*ROUND((Source!AF136*Source!AV136)*Source!I136, 2), 2)</f>
        <v>291.2</v>
      </c>
      <c r="R185">
        <f>Source!X136</f>
        <v>291.2</v>
      </c>
      <c r="S185">
        <f>ROUND((Source!CA136/100)*ROUND((Source!AF136*Source!AV136)*Source!I136, 2), 2)</f>
        <v>41.6</v>
      </c>
      <c r="T185">
        <f>Source!Y136</f>
        <v>41.6</v>
      </c>
      <c r="U185">
        <f>ROUND((175/100)*ROUND((Source!AE136*Source!AV136)*Source!I136, 2), 2)</f>
        <v>173.5</v>
      </c>
      <c r="V185">
        <f>ROUND((108/100)*ROUND(Source!CS136*Source!I136, 2), 2)</f>
        <v>107.07</v>
      </c>
    </row>
    <row r="186" spans="1:22" ht="14.25" x14ac:dyDescent="0.2">
      <c r="A186" s="18"/>
      <c r="B186" s="18"/>
      <c r="C186" s="18"/>
      <c r="D186" s="18" t="s">
        <v>731</v>
      </c>
      <c r="E186" s="19"/>
      <c r="F186" s="9"/>
      <c r="G186" s="21">
        <f>Source!AO136</f>
        <v>208</v>
      </c>
      <c r="H186" s="20" t="str">
        <f>Source!DG136</f>
        <v>)*2</v>
      </c>
      <c r="I186" s="9">
        <f>Source!AV136</f>
        <v>1</v>
      </c>
      <c r="J186" s="9">
        <f>IF(Source!BA136&lt;&gt; 0, Source!BA136, 1)</f>
        <v>1</v>
      </c>
      <c r="K186" s="21">
        <f>Source!S136</f>
        <v>416</v>
      </c>
      <c r="L186" s="21"/>
    </row>
    <row r="187" spans="1:22" ht="14.25" x14ac:dyDescent="0.2">
      <c r="A187" s="18"/>
      <c r="B187" s="18"/>
      <c r="C187" s="18"/>
      <c r="D187" s="18" t="s">
        <v>738</v>
      </c>
      <c r="E187" s="19"/>
      <c r="F187" s="9"/>
      <c r="G187" s="21">
        <f>Source!AM136</f>
        <v>78.180000000000007</v>
      </c>
      <c r="H187" s="20" t="str">
        <f>Source!DE136</f>
        <v>)*2</v>
      </c>
      <c r="I187" s="9">
        <f>Source!AV136</f>
        <v>1</v>
      </c>
      <c r="J187" s="9">
        <f>IF(Source!BB136&lt;&gt; 0, Source!BB136, 1)</f>
        <v>1</v>
      </c>
      <c r="K187" s="21">
        <f>Source!Q136</f>
        <v>156.36000000000001</v>
      </c>
      <c r="L187" s="21"/>
    </row>
    <row r="188" spans="1:22" ht="14.25" x14ac:dyDescent="0.2">
      <c r="A188" s="18"/>
      <c r="B188" s="18"/>
      <c r="C188" s="18"/>
      <c r="D188" s="18" t="s">
        <v>739</v>
      </c>
      <c r="E188" s="19"/>
      <c r="F188" s="9"/>
      <c r="G188" s="21">
        <f>Source!AN136</f>
        <v>49.57</v>
      </c>
      <c r="H188" s="20" t="str">
        <f>Source!DF136</f>
        <v>)*2</v>
      </c>
      <c r="I188" s="9">
        <f>Source!AV136</f>
        <v>1</v>
      </c>
      <c r="J188" s="9">
        <f>IF(Source!BS136&lt;&gt; 0, Source!BS136, 1)</f>
        <v>1</v>
      </c>
      <c r="K188" s="27">
        <f>Source!R136</f>
        <v>99.14</v>
      </c>
      <c r="L188" s="21"/>
    </row>
    <row r="189" spans="1:22" ht="14.25" x14ac:dyDescent="0.2">
      <c r="A189" s="18"/>
      <c r="B189" s="18"/>
      <c r="C189" s="18"/>
      <c r="D189" s="18" t="s">
        <v>733</v>
      </c>
      <c r="E189" s="19" t="s">
        <v>734</v>
      </c>
      <c r="F189" s="9">
        <f>Source!AT136</f>
        <v>70</v>
      </c>
      <c r="G189" s="21"/>
      <c r="H189" s="20"/>
      <c r="I189" s="9"/>
      <c r="J189" s="9"/>
      <c r="K189" s="21">
        <f>SUM(R185:R188)</f>
        <v>291.2</v>
      </c>
      <c r="L189" s="21"/>
    </row>
    <row r="190" spans="1:22" ht="14.25" x14ac:dyDescent="0.2">
      <c r="A190" s="18"/>
      <c r="B190" s="18"/>
      <c r="C190" s="18"/>
      <c r="D190" s="18" t="s">
        <v>735</v>
      </c>
      <c r="E190" s="19" t="s">
        <v>734</v>
      </c>
      <c r="F190" s="9">
        <f>Source!AU136</f>
        <v>10</v>
      </c>
      <c r="G190" s="21"/>
      <c r="H190" s="20"/>
      <c r="I190" s="9"/>
      <c r="J190" s="9"/>
      <c r="K190" s="21">
        <f>SUM(T185:T189)</f>
        <v>41.6</v>
      </c>
      <c r="L190" s="21"/>
    </row>
    <row r="191" spans="1:22" ht="14.25" x14ac:dyDescent="0.2">
      <c r="A191" s="18"/>
      <c r="B191" s="18"/>
      <c r="C191" s="18"/>
      <c r="D191" s="18" t="s">
        <v>740</v>
      </c>
      <c r="E191" s="19" t="s">
        <v>734</v>
      </c>
      <c r="F191" s="9">
        <f>108</f>
        <v>108</v>
      </c>
      <c r="G191" s="21"/>
      <c r="H191" s="20"/>
      <c r="I191" s="9"/>
      <c r="J191" s="9"/>
      <c r="K191" s="21">
        <f>SUM(V185:V190)</f>
        <v>107.07</v>
      </c>
      <c r="L191" s="21"/>
    </row>
    <row r="192" spans="1:22" ht="14.25" x14ac:dyDescent="0.2">
      <c r="A192" s="18"/>
      <c r="B192" s="18"/>
      <c r="C192" s="18"/>
      <c r="D192" s="18" t="s">
        <v>736</v>
      </c>
      <c r="E192" s="19" t="s">
        <v>737</v>
      </c>
      <c r="F192" s="9">
        <f>Source!AQ136</f>
        <v>0.37</v>
      </c>
      <c r="G192" s="21"/>
      <c r="H192" s="20" t="str">
        <f>Source!DI136</f>
        <v>)*2</v>
      </c>
      <c r="I192" s="9">
        <f>Source!AV136</f>
        <v>1</v>
      </c>
      <c r="J192" s="9"/>
      <c r="K192" s="21"/>
      <c r="L192" s="21">
        <f>Source!U136</f>
        <v>0.74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51">
        <f>K186+K187+K189+K190+K191</f>
        <v>1012.23</v>
      </c>
      <c r="K193" s="51"/>
      <c r="L193" s="24">
        <f>IF(Source!I136&lt;&gt;0, ROUND(J193/Source!I136, 2), 0)</f>
        <v>1012.23</v>
      </c>
      <c r="P193" s="22">
        <f>J193</f>
        <v>1012.23</v>
      </c>
    </row>
    <row r="194" spans="1:22" ht="57" x14ac:dyDescent="0.2">
      <c r="A194" s="18">
        <v>19</v>
      </c>
      <c r="B194" s="18">
        <v>19</v>
      </c>
      <c r="C194" s="18" t="str">
        <f>Source!F137</f>
        <v>1.23-2303-4-4/1</v>
      </c>
      <c r="D194" s="18" t="str">
        <f>Source!G137</f>
        <v>Техническое обслуживание средств автоматизации, механизмы электрические однооборотные МЭО, ИМ</v>
      </c>
      <c r="E194" s="19" t="str">
        <f>Source!H137</f>
        <v>шт.</v>
      </c>
      <c r="F194" s="9">
        <f>Source!I137</f>
        <v>1</v>
      </c>
      <c r="G194" s="21"/>
      <c r="H194" s="20"/>
      <c r="I194" s="9"/>
      <c r="J194" s="9"/>
      <c r="K194" s="21"/>
      <c r="L194" s="21"/>
      <c r="Q194">
        <f>ROUND((Source!BZ137/100)*ROUND((Source!AF137*Source!AV137)*Source!I137, 2), 2)</f>
        <v>1881.24</v>
      </c>
      <c r="R194">
        <f>Source!X137</f>
        <v>1881.24</v>
      </c>
      <c r="S194">
        <f>ROUND((Source!CA137/100)*ROUND((Source!AF137*Source!AV137)*Source!I137, 2), 2)</f>
        <v>268.75</v>
      </c>
      <c r="T194">
        <f>Source!Y137</f>
        <v>268.75</v>
      </c>
      <c r="U194">
        <f>ROUND((175/100)*ROUND((Source!AE137*Source!AV137)*Source!I137, 2), 2)</f>
        <v>0</v>
      </c>
      <c r="V194">
        <f>ROUND((108/100)*ROUND(Source!CS137*Source!I137, 2), 2)</f>
        <v>0</v>
      </c>
    </row>
    <row r="195" spans="1:22" ht="14.25" x14ac:dyDescent="0.2">
      <c r="A195" s="18"/>
      <c r="B195" s="18"/>
      <c r="C195" s="18"/>
      <c r="D195" s="18" t="s">
        <v>731</v>
      </c>
      <c r="E195" s="19"/>
      <c r="F195" s="9"/>
      <c r="G195" s="21">
        <f>Source!AO137</f>
        <v>1343.74</v>
      </c>
      <c r="H195" s="20" t="str">
        <f>Source!DG137</f>
        <v>)*2</v>
      </c>
      <c r="I195" s="9">
        <f>Source!AV137</f>
        <v>1</v>
      </c>
      <c r="J195" s="9">
        <f>IF(Source!BA137&lt;&gt; 0, Source!BA137, 1)</f>
        <v>1</v>
      </c>
      <c r="K195" s="21">
        <f>Source!S137</f>
        <v>2687.48</v>
      </c>
      <c r="L195" s="21"/>
    </row>
    <row r="196" spans="1:22" ht="14.25" x14ac:dyDescent="0.2">
      <c r="A196" s="18"/>
      <c r="B196" s="18"/>
      <c r="C196" s="18"/>
      <c r="D196" s="18" t="s">
        <v>733</v>
      </c>
      <c r="E196" s="19" t="s">
        <v>734</v>
      </c>
      <c r="F196" s="9">
        <f>Source!AT137</f>
        <v>70</v>
      </c>
      <c r="G196" s="21"/>
      <c r="H196" s="20"/>
      <c r="I196" s="9"/>
      <c r="J196" s="9"/>
      <c r="K196" s="21">
        <f>SUM(R194:R195)</f>
        <v>1881.24</v>
      </c>
      <c r="L196" s="21"/>
    </row>
    <row r="197" spans="1:22" ht="14.25" x14ac:dyDescent="0.2">
      <c r="A197" s="18"/>
      <c r="B197" s="18"/>
      <c r="C197" s="18"/>
      <c r="D197" s="18" t="s">
        <v>735</v>
      </c>
      <c r="E197" s="19" t="s">
        <v>734</v>
      </c>
      <c r="F197" s="9">
        <f>Source!AU137</f>
        <v>10</v>
      </c>
      <c r="G197" s="21"/>
      <c r="H197" s="20"/>
      <c r="I197" s="9"/>
      <c r="J197" s="9"/>
      <c r="K197" s="21">
        <f>SUM(T194:T196)</f>
        <v>268.75</v>
      </c>
      <c r="L197" s="21"/>
    </row>
    <row r="198" spans="1:22" ht="14.25" x14ac:dyDescent="0.2">
      <c r="A198" s="18"/>
      <c r="B198" s="18"/>
      <c r="C198" s="18"/>
      <c r="D198" s="18" t="s">
        <v>736</v>
      </c>
      <c r="E198" s="19" t="s">
        <v>737</v>
      </c>
      <c r="F198" s="9">
        <f>Source!AQ137</f>
        <v>1.62</v>
      </c>
      <c r="G198" s="21"/>
      <c r="H198" s="20" t="str">
        <f>Source!DI137</f>
        <v>)*2</v>
      </c>
      <c r="I198" s="9">
        <f>Source!AV137</f>
        <v>1</v>
      </c>
      <c r="J198" s="9"/>
      <c r="K198" s="21"/>
      <c r="L198" s="21">
        <f>Source!U137</f>
        <v>3.24</v>
      </c>
    </row>
    <row r="199" spans="1:22" ht="15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51">
        <f>K195+K196+K197</f>
        <v>4837.47</v>
      </c>
      <c r="K199" s="51"/>
      <c r="L199" s="24">
        <f>IF(Source!I137&lt;&gt;0, ROUND(J199/Source!I137, 2), 0)</f>
        <v>4837.47</v>
      </c>
      <c r="P199" s="22">
        <f>J199</f>
        <v>4837.47</v>
      </c>
    </row>
    <row r="200" spans="1:22" ht="85.5" x14ac:dyDescent="0.2">
      <c r="A200" s="18">
        <v>20</v>
      </c>
      <c r="B200" s="18">
        <v>20</v>
      </c>
      <c r="C200" s="18" t="str">
        <f>Source!F138</f>
        <v>1.15-2203-8-2/1</v>
      </c>
      <c r="D200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00" s="19" t="str">
        <f>Source!H138</f>
        <v>шт.</v>
      </c>
      <c r="F200" s="9">
        <f>Source!I138</f>
        <v>6</v>
      </c>
      <c r="G200" s="21"/>
      <c r="H200" s="20"/>
      <c r="I200" s="9"/>
      <c r="J200" s="9"/>
      <c r="K200" s="21"/>
      <c r="L200" s="21"/>
      <c r="Q200">
        <f>ROUND((Source!BZ138/100)*ROUND((Source!AF138*Source!AV138)*Source!I138, 2), 2)</f>
        <v>566.66</v>
      </c>
      <c r="R200">
        <f>Source!X138</f>
        <v>566.66</v>
      </c>
      <c r="S200">
        <f>ROUND((Source!CA138/100)*ROUND((Source!AF138*Source!AV138)*Source!I138, 2), 2)</f>
        <v>80.95</v>
      </c>
      <c r="T200">
        <f>Source!Y138</f>
        <v>80.95</v>
      </c>
      <c r="U200">
        <f>ROUND((175/100)*ROUND((Source!AE138*Source!AV138)*Source!I138, 2), 2)</f>
        <v>0</v>
      </c>
      <c r="V200">
        <f>ROUND((108/100)*ROUND(Source!CS138*Source!I138, 2), 2)</f>
        <v>0</v>
      </c>
    </row>
    <row r="201" spans="1:22" ht="14.25" x14ac:dyDescent="0.2">
      <c r="A201" s="18"/>
      <c r="B201" s="18"/>
      <c r="C201" s="18"/>
      <c r="D201" s="18" t="s">
        <v>731</v>
      </c>
      <c r="E201" s="19"/>
      <c r="F201" s="9"/>
      <c r="G201" s="21">
        <f>Source!AO138</f>
        <v>134.91999999999999</v>
      </c>
      <c r="H201" s="20" t="str">
        <f>Source!DG138</f>
        <v/>
      </c>
      <c r="I201" s="9">
        <f>Source!AV138</f>
        <v>1</v>
      </c>
      <c r="J201" s="9">
        <f>IF(Source!BA138&lt;&gt; 0, Source!BA138, 1)</f>
        <v>1</v>
      </c>
      <c r="K201" s="21">
        <f>Source!S138</f>
        <v>809.52</v>
      </c>
      <c r="L201" s="21"/>
    </row>
    <row r="202" spans="1:22" ht="14.25" x14ac:dyDescent="0.2">
      <c r="A202" s="18"/>
      <c r="B202" s="18"/>
      <c r="C202" s="18"/>
      <c r="D202" s="18" t="s">
        <v>732</v>
      </c>
      <c r="E202" s="19"/>
      <c r="F202" s="9"/>
      <c r="G202" s="21">
        <f>Source!AL138</f>
        <v>0.63</v>
      </c>
      <c r="H202" s="20" t="str">
        <f>Source!DD138</f>
        <v/>
      </c>
      <c r="I202" s="9">
        <f>Source!AW138</f>
        <v>1</v>
      </c>
      <c r="J202" s="9">
        <f>IF(Source!BC138&lt;&gt; 0, Source!BC138, 1)</f>
        <v>1</v>
      </c>
      <c r="K202" s="21">
        <f>Source!P138</f>
        <v>3.78</v>
      </c>
      <c r="L202" s="21"/>
    </row>
    <row r="203" spans="1:22" ht="14.25" x14ac:dyDescent="0.2">
      <c r="A203" s="18"/>
      <c r="B203" s="18"/>
      <c r="C203" s="18"/>
      <c r="D203" s="18" t="s">
        <v>733</v>
      </c>
      <c r="E203" s="19" t="s">
        <v>734</v>
      </c>
      <c r="F203" s="9">
        <f>Source!AT138</f>
        <v>70</v>
      </c>
      <c r="G203" s="21"/>
      <c r="H203" s="20"/>
      <c r="I203" s="9"/>
      <c r="J203" s="9"/>
      <c r="K203" s="21">
        <f>SUM(R200:R202)</f>
        <v>566.66</v>
      </c>
      <c r="L203" s="21"/>
    </row>
    <row r="204" spans="1:22" ht="14.25" x14ac:dyDescent="0.2">
      <c r="A204" s="18"/>
      <c r="B204" s="18"/>
      <c r="C204" s="18"/>
      <c r="D204" s="18" t="s">
        <v>735</v>
      </c>
      <c r="E204" s="19" t="s">
        <v>734</v>
      </c>
      <c r="F204" s="9">
        <f>Source!AU138</f>
        <v>10</v>
      </c>
      <c r="G204" s="21"/>
      <c r="H204" s="20"/>
      <c r="I204" s="9"/>
      <c r="J204" s="9"/>
      <c r="K204" s="21">
        <f>SUM(T200:T203)</f>
        <v>80.95</v>
      </c>
      <c r="L204" s="21"/>
    </row>
    <row r="205" spans="1:22" ht="14.25" x14ac:dyDescent="0.2">
      <c r="A205" s="18"/>
      <c r="B205" s="18"/>
      <c r="C205" s="18"/>
      <c r="D205" s="18" t="s">
        <v>736</v>
      </c>
      <c r="E205" s="19" t="s">
        <v>737</v>
      </c>
      <c r="F205" s="9">
        <f>Source!AQ138</f>
        <v>0.24</v>
      </c>
      <c r="G205" s="21"/>
      <c r="H205" s="20" t="str">
        <f>Source!DI138</f>
        <v/>
      </c>
      <c r="I205" s="9">
        <f>Source!AV138</f>
        <v>1</v>
      </c>
      <c r="J205" s="9"/>
      <c r="K205" s="21"/>
      <c r="L205" s="21">
        <f>Source!U138</f>
        <v>1.44</v>
      </c>
    </row>
    <row r="206" spans="1:22" ht="15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51">
        <f>K201+K202+K203+K204</f>
        <v>1460.91</v>
      </c>
      <c r="K206" s="51"/>
      <c r="L206" s="24">
        <f>IF(Source!I138&lt;&gt;0, ROUND(J206/Source!I138, 2), 0)</f>
        <v>243.49</v>
      </c>
      <c r="P206" s="22">
        <f>J206</f>
        <v>1460.91</v>
      </c>
    </row>
    <row r="207" spans="1:22" ht="57" x14ac:dyDescent="0.2">
      <c r="A207" s="18">
        <v>21</v>
      </c>
      <c r="B207" s="18">
        <v>21</v>
      </c>
      <c r="C207" s="18" t="str">
        <f>Source!F140</f>
        <v>1.24-2503-4-18/1</v>
      </c>
      <c r="D207" s="18" t="str">
        <f>Source!G140</f>
        <v>Техническое обслуживание циркуляционных насосов систем отопления с тепловыми насосами - ежемесячное</v>
      </c>
      <c r="E207" s="19" t="str">
        <f>Source!H140</f>
        <v>шт.</v>
      </c>
      <c r="F207" s="9">
        <f>Source!I140</f>
        <v>2</v>
      </c>
      <c r="G207" s="21"/>
      <c r="H207" s="20"/>
      <c r="I207" s="9"/>
      <c r="J207" s="9"/>
      <c r="K207" s="21"/>
      <c r="L207" s="21"/>
      <c r="Q207">
        <f>ROUND((Source!BZ140/100)*ROUND((Source!AF140*Source!AV140)*Source!I140, 2), 2)</f>
        <v>1649.26</v>
      </c>
      <c r="R207">
        <f>Source!X140</f>
        <v>1649.26</v>
      </c>
      <c r="S207">
        <f>ROUND((Source!CA140/100)*ROUND((Source!AF140*Source!AV140)*Source!I140, 2), 2)</f>
        <v>235.61</v>
      </c>
      <c r="T207">
        <f>Source!Y140</f>
        <v>235.61</v>
      </c>
      <c r="U207">
        <f>ROUND((175/100)*ROUND((Source!AE140*Source!AV140)*Source!I140, 2), 2)</f>
        <v>1735.02</v>
      </c>
      <c r="V207">
        <f>ROUND((108/100)*ROUND(Source!CS140*Source!I140, 2), 2)</f>
        <v>1070.76</v>
      </c>
    </row>
    <row r="208" spans="1:22" ht="14.25" x14ac:dyDescent="0.2">
      <c r="A208" s="18"/>
      <c r="B208" s="18"/>
      <c r="C208" s="18"/>
      <c r="D208" s="18" t="s">
        <v>731</v>
      </c>
      <c r="E208" s="19"/>
      <c r="F208" s="9"/>
      <c r="G208" s="21">
        <f>Source!AO140</f>
        <v>294.51</v>
      </c>
      <c r="H208" s="20" t="str">
        <f>Source!DG140</f>
        <v>)*4</v>
      </c>
      <c r="I208" s="9">
        <f>Source!AV140</f>
        <v>1</v>
      </c>
      <c r="J208" s="9">
        <f>IF(Source!BA140&lt;&gt; 0, Source!BA140, 1)</f>
        <v>1</v>
      </c>
      <c r="K208" s="21">
        <f>Source!S140</f>
        <v>2356.08</v>
      </c>
      <c r="L208" s="21"/>
    </row>
    <row r="209" spans="1:22" ht="14.25" x14ac:dyDescent="0.2">
      <c r="A209" s="18"/>
      <c r="B209" s="18"/>
      <c r="C209" s="18"/>
      <c r="D209" s="18" t="s">
        <v>738</v>
      </c>
      <c r="E209" s="19"/>
      <c r="F209" s="9"/>
      <c r="G209" s="21">
        <f>Source!AM140</f>
        <v>195.45</v>
      </c>
      <c r="H209" s="20" t="str">
        <f>Source!DE140</f>
        <v>)*4</v>
      </c>
      <c r="I209" s="9">
        <f>Source!AV140</f>
        <v>1</v>
      </c>
      <c r="J209" s="9">
        <f>IF(Source!BB140&lt;&gt; 0, Source!BB140, 1)</f>
        <v>1</v>
      </c>
      <c r="K209" s="21">
        <f>Source!Q140</f>
        <v>1563.6</v>
      </c>
      <c r="L209" s="21"/>
    </row>
    <row r="210" spans="1:22" ht="14.25" x14ac:dyDescent="0.2">
      <c r="A210" s="18"/>
      <c r="B210" s="18"/>
      <c r="C210" s="18"/>
      <c r="D210" s="18" t="s">
        <v>739</v>
      </c>
      <c r="E210" s="19"/>
      <c r="F210" s="9"/>
      <c r="G210" s="21">
        <f>Source!AN140</f>
        <v>123.93</v>
      </c>
      <c r="H210" s="20" t="str">
        <f>Source!DF140</f>
        <v>)*4</v>
      </c>
      <c r="I210" s="9">
        <f>Source!AV140</f>
        <v>1</v>
      </c>
      <c r="J210" s="9">
        <f>IF(Source!BS140&lt;&gt; 0, Source!BS140, 1)</f>
        <v>1</v>
      </c>
      <c r="K210" s="27">
        <f>Source!R140</f>
        <v>991.44</v>
      </c>
      <c r="L210" s="21"/>
    </row>
    <row r="211" spans="1:22" ht="14.25" x14ac:dyDescent="0.2">
      <c r="A211" s="18"/>
      <c r="B211" s="18"/>
      <c r="C211" s="18"/>
      <c r="D211" s="18" t="s">
        <v>732</v>
      </c>
      <c r="E211" s="19"/>
      <c r="F211" s="9"/>
      <c r="G211" s="21">
        <f>Source!AL140</f>
        <v>0.63</v>
      </c>
      <c r="H211" s="20" t="str">
        <f>Source!DD140</f>
        <v>)*4</v>
      </c>
      <c r="I211" s="9">
        <f>Source!AW140</f>
        <v>1</v>
      </c>
      <c r="J211" s="9">
        <f>IF(Source!BC140&lt;&gt; 0, Source!BC140, 1)</f>
        <v>1</v>
      </c>
      <c r="K211" s="21">
        <f>Source!P140</f>
        <v>5.04</v>
      </c>
      <c r="L211" s="21"/>
    </row>
    <row r="212" spans="1:22" ht="14.25" x14ac:dyDescent="0.2">
      <c r="A212" s="18"/>
      <c r="B212" s="18"/>
      <c r="C212" s="18"/>
      <c r="D212" s="18" t="s">
        <v>733</v>
      </c>
      <c r="E212" s="19" t="s">
        <v>734</v>
      </c>
      <c r="F212" s="9">
        <f>Source!AT140</f>
        <v>70</v>
      </c>
      <c r="G212" s="21"/>
      <c r="H212" s="20"/>
      <c r="I212" s="9"/>
      <c r="J212" s="9"/>
      <c r="K212" s="21">
        <f>SUM(R207:R211)</f>
        <v>1649.26</v>
      </c>
      <c r="L212" s="21"/>
    </row>
    <row r="213" spans="1:22" ht="14.25" x14ac:dyDescent="0.2">
      <c r="A213" s="18"/>
      <c r="B213" s="18"/>
      <c r="C213" s="18"/>
      <c r="D213" s="18" t="s">
        <v>735</v>
      </c>
      <c r="E213" s="19" t="s">
        <v>734</v>
      </c>
      <c r="F213" s="9">
        <f>Source!AU140</f>
        <v>10</v>
      </c>
      <c r="G213" s="21"/>
      <c r="H213" s="20"/>
      <c r="I213" s="9"/>
      <c r="J213" s="9"/>
      <c r="K213" s="21">
        <f>SUM(T207:T212)</f>
        <v>235.61</v>
      </c>
      <c r="L213" s="21"/>
    </row>
    <row r="214" spans="1:22" ht="14.25" x14ac:dyDescent="0.2">
      <c r="A214" s="18"/>
      <c r="B214" s="18"/>
      <c r="C214" s="18"/>
      <c r="D214" s="18" t="s">
        <v>740</v>
      </c>
      <c r="E214" s="19" t="s">
        <v>734</v>
      </c>
      <c r="F214" s="9">
        <f>108</f>
        <v>108</v>
      </c>
      <c r="G214" s="21"/>
      <c r="H214" s="20"/>
      <c r="I214" s="9"/>
      <c r="J214" s="9"/>
      <c r="K214" s="21">
        <f>SUM(V207:V213)</f>
        <v>1070.76</v>
      </c>
      <c r="L214" s="21"/>
    </row>
    <row r="215" spans="1:22" ht="14.25" x14ac:dyDescent="0.2">
      <c r="A215" s="18"/>
      <c r="B215" s="18"/>
      <c r="C215" s="18"/>
      <c r="D215" s="18" t="s">
        <v>736</v>
      </c>
      <c r="E215" s="19" t="s">
        <v>737</v>
      </c>
      <c r="F215" s="9">
        <f>Source!AQ140</f>
        <v>0.42</v>
      </c>
      <c r="G215" s="21"/>
      <c r="H215" s="20" t="str">
        <f>Source!DI140</f>
        <v>)*4</v>
      </c>
      <c r="I215" s="9">
        <f>Source!AV140</f>
        <v>1</v>
      </c>
      <c r="J215" s="9"/>
      <c r="K215" s="21"/>
      <c r="L215" s="21">
        <f>Source!U140</f>
        <v>3.36</v>
      </c>
    </row>
    <row r="216" spans="1:22" ht="15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51">
        <f>K208+K209+K211+K212+K213+K214</f>
        <v>6880.3499999999995</v>
      </c>
      <c r="K216" s="51"/>
      <c r="L216" s="24">
        <f>IF(Source!I140&lt;&gt;0, ROUND(J216/Source!I140, 2), 0)</f>
        <v>3440.18</v>
      </c>
      <c r="P216" s="22">
        <f>J216</f>
        <v>6880.3499999999995</v>
      </c>
    </row>
    <row r="217" spans="1:22" ht="28.5" x14ac:dyDescent="0.2">
      <c r="A217" s="18">
        <v>22</v>
      </c>
      <c r="B217" s="18">
        <v>22</v>
      </c>
      <c r="C217" s="18" t="str">
        <f>Source!F141</f>
        <v>1.23-2303-7-2/1</v>
      </c>
      <c r="D217" s="18" t="str">
        <f>Source!G141</f>
        <v>Техническое обслуживание реле давления, напора, тяги</v>
      </c>
      <c r="E217" s="19" t="str">
        <f>Source!H141</f>
        <v>шт.</v>
      </c>
      <c r="F217" s="9">
        <f>Source!I141</f>
        <v>1</v>
      </c>
      <c r="G217" s="21"/>
      <c r="H217" s="20"/>
      <c r="I217" s="9"/>
      <c r="J217" s="9"/>
      <c r="K217" s="21"/>
      <c r="L217" s="21"/>
      <c r="Q217">
        <f>ROUND((Source!BZ141/100)*ROUND((Source!AF141*Source!AV141)*Source!I141, 2), 2)</f>
        <v>377.54</v>
      </c>
      <c r="R217">
        <f>Source!X141</f>
        <v>377.54</v>
      </c>
      <c r="S217">
        <f>ROUND((Source!CA141/100)*ROUND((Source!AF141*Source!AV141)*Source!I141, 2), 2)</f>
        <v>53.93</v>
      </c>
      <c r="T217">
        <f>Source!Y141</f>
        <v>53.93</v>
      </c>
      <c r="U217">
        <f>ROUND((175/100)*ROUND((Source!AE141*Source!AV141)*Source!I141, 2), 2)</f>
        <v>0</v>
      </c>
      <c r="V217">
        <f>ROUND((108/100)*ROUND(Source!CS141*Source!I141, 2), 2)</f>
        <v>0</v>
      </c>
    </row>
    <row r="218" spans="1:22" ht="14.25" x14ac:dyDescent="0.2">
      <c r="A218" s="18"/>
      <c r="B218" s="18"/>
      <c r="C218" s="18"/>
      <c r="D218" s="18" t="s">
        <v>731</v>
      </c>
      <c r="E218" s="19"/>
      <c r="F218" s="9"/>
      <c r="G218" s="21">
        <f>Source!AO141</f>
        <v>269.67</v>
      </c>
      <c r="H218" s="20" t="str">
        <f>Source!DG141</f>
        <v>)*2</v>
      </c>
      <c r="I218" s="9">
        <f>Source!AV141</f>
        <v>1</v>
      </c>
      <c r="J218" s="9">
        <f>IF(Source!BA141&lt;&gt; 0, Source!BA141, 1)</f>
        <v>1</v>
      </c>
      <c r="K218" s="21">
        <f>Source!S141</f>
        <v>539.34</v>
      </c>
      <c r="L218" s="21"/>
    </row>
    <row r="219" spans="1:22" ht="14.25" x14ac:dyDescent="0.2">
      <c r="A219" s="18"/>
      <c r="B219" s="18"/>
      <c r="C219" s="18"/>
      <c r="D219" s="18" t="s">
        <v>732</v>
      </c>
      <c r="E219" s="19"/>
      <c r="F219" s="9"/>
      <c r="G219" s="21">
        <f>Source!AL141</f>
        <v>19.14</v>
      </c>
      <c r="H219" s="20" t="str">
        <f>Source!DD141</f>
        <v>)*2</v>
      </c>
      <c r="I219" s="9">
        <f>Source!AW141</f>
        <v>1</v>
      </c>
      <c r="J219" s="9">
        <f>IF(Source!BC141&lt;&gt; 0, Source!BC141, 1)</f>
        <v>1</v>
      </c>
      <c r="K219" s="21">
        <f>Source!P141</f>
        <v>38.28</v>
      </c>
      <c r="L219" s="21"/>
    </row>
    <row r="220" spans="1:22" ht="14.25" x14ac:dyDescent="0.2">
      <c r="A220" s="18"/>
      <c r="B220" s="18"/>
      <c r="C220" s="18"/>
      <c r="D220" s="18" t="s">
        <v>733</v>
      </c>
      <c r="E220" s="19" t="s">
        <v>734</v>
      </c>
      <c r="F220" s="9">
        <f>Source!AT141</f>
        <v>70</v>
      </c>
      <c r="G220" s="21"/>
      <c r="H220" s="20"/>
      <c r="I220" s="9"/>
      <c r="J220" s="9"/>
      <c r="K220" s="21">
        <f>SUM(R217:R219)</f>
        <v>377.54</v>
      </c>
      <c r="L220" s="21"/>
    </row>
    <row r="221" spans="1:22" ht="14.25" x14ac:dyDescent="0.2">
      <c r="A221" s="18"/>
      <c r="B221" s="18"/>
      <c r="C221" s="18"/>
      <c r="D221" s="18" t="s">
        <v>735</v>
      </c>
      <c r="E221" s="19" t="s">
        <v>734</v>
      </c>
      <c r="F221" s="9">
        <f>Source!AU141</f>
        <v>10</v>
      </c>
      <c r="G221" s="21"/>
      <c r="H221" s="20"/>
      <c r="I221" s="9"/>
      <c r="J221" s="9"/>
      <c r="K221" s="21">
        <f>SUM(T217:T220)</f>
        <v>53.93</v>
      </c>
      <c r="L221" s="21"/>
    </row>
    <row r="222" spans="1:22" ht="14.25" x14ac:dyDescent="0.2">
      <c r="A222" s="18"/>
      <c r="B222" s="18"/>
      <c r="C222" s="18"/>
      <c r="D222" s="18" t="s">
        <v>736</v>
      </c>
      <c r="E222" s="19" t="s">
        <v>737</v>
      </c>
      <c r="F222" s="9">
        <f>Source!AQ141</f>
        <v>0.38</v>
      </c>
      <c r="G222" s="21"/>
      <c r="H222" s="20" t="str">
        <f>Source!DI141</f>
        <v>)*2</v>
      </c>
      <c r="I222" s="9">
        <f>Source!AV141</f>
        <v>1</v>
      </c>
      <c r="J222" s="9"/>
      <c r="K222" s="21"/>
      <c r="L222" s="21">
        <f>Source!U141</f>
        <v>0.76</v>
      </c>
    </row>
    <row r="223" spans="1:22" ht="15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51">
        <f>K218+K219+K220+K221</f>
        <v>1009.09</v>
      </c>
      <c r="K223" s="51"/>
      <c r="L223" s="24">
        <f>IF(Source!I141&lt;&gt;0, ROUND(J223/Source!I141, 2), 0)</f>
        <v>1009.09</v>
      </c>
      <c r="P223" s="22">
        <f>J223</f>
        <v>1009.09</v>
      </c>
    </row>
    <row r="224" spans="1:22" ht="42.75" x14ac:dyDescent="0.2">
      <c r="A224" s="18">
        <v>23</v>
      </c>
      <c r="B224" s="18">
        <v>23</v>
      </c>
      <c r="C224" s="18" t="str">
        <f>Source!F142</f>
        <v>1.15-2203-7-1/1</v>
      </c>
      <c r="D224" s="18" t="str">
        <f>Source!G142</f>
        <v>Техническое обслуживание крана шарового латунного никелированного диаметром до 25 мм</v>
      </c>
      <c r="E224" s="19" t="str">
        <f>Source!H142</f>
        <v>10 шт.</v>
      </c>
      <c r="F224" s="9">
        <f>Source!I142</f>
        <v>0.2</v>
      </c>
      <c r="G224" s="21"/>
      <c r="H224" s="20"/>
      <c r="I224" s="9"/>
      <c r="J224" s="9"/>
      <c r="K224" s="21"/>
      <c r="L224" s="21"/>
      <c r="Q224">
        <f>ROUND((Source!BZ142/100)*ROUND((Source!AF142*Source!AV142)*Source!I142, 2), 2)</f>
        <v>38.9</v>
      </c>
      <c r="R224">
        <f>Source!X142</f>
        <v>38.9</v>
      </c>
      <c r="S224">
        <f>ROUND((Source!CA142/100)*ROUND((Source!AF142*Source!AV142)*Source!I142, 2), 2)</f>
        <v>5.56</v>
      </c>
      <c r="T224">
        <f>Source!Y142</f>
        <v>5.56</v>
      </c>
      <c r="U224">
        <f>ROUND((175/100)*ROUND((Source!AE142*Source!AV142)*Source!I142, 2), 2)</f>
        <v>0</v>
      </c>
      <c r="V224">
        <f>ROUND((108/100)*ROUND(Source!CS142*Source!I142, 2), 2)</f>
        <v>0</v>
      </c>
    </row>
    <row r="225" spans="1:22" x14ac:dyDescent="0.2">
      <c r="D225" s="25" t="str">
        <f>"Объем: "&amp;Source!I142&amp;"=2/"&amp;"10"</f>
        <v>Объем: 0,2=2/10</v>
      </c>
    </row>
    <row r="226" spans="1:22" ht="14.25" x14ac:dyDescent="0.2">
      <c r="A226" s="18"/>
      <c r="B226" s="18"/>
      <c r="C226" s="18"/>
      <c r="D226" s="18" t="s">
        <v>731</v>
      </c>
      <c r="E226" s="19"/>
      <c r="F226" s="9"/>
      <c r="G226" s="21">
        <f>Source!AO142</f>
        <v>277.87</v>
      </c>
      <c r="H226" s="20" t="str">
        <f>Source!DG142</f>
        <v/>
      </c>
      <c r="I226" s="9">
        <f>Source!AV142</f>
        <v>1</v>
      </c>
      <c r="J226" s="9">
        <f>IF(Source!BA142&lt;&gt; 0, Source!BA142, 1)</f>
        <v>1</v>
      </c>
      <c r="K226" s="21">
        <f>Source!S142</f>
        <v>55.57</v>
      </c>
      <c r="L226" s="21"/>
    </row>
    <row r="227" spans="1:22" ht="14.25" x14ac:dyDescent="0.2">
      <c r="A227" s="18"/>
      <c r="B227" s="18"/>
      <c r="C227" s="18"/>
      <c r="D227" s="18" t="s">
        <v>733</v>
      </c>
      <c r="E227" s="19" t="s">
        <v>734</v>
      </c>
      <c r="F227" s="9">
        <f>Source!AT142</f>
        <v>70</v>
      </c>
      <c r="G227" s="21"/>
      <c r="H227" s="20"/>
      <c r="I227" s="9"/>
      <c r="J227" s="9"/>
      <c r="K227" s="21">
        <f>SUM(R224:R226)</f>
        <v>38.9</v>
      </c>
      <c r="L227" s="21"/>
    </row>
    <row r="228" spans="1:22" ht="14.25" x14ac:dyDescent="0.2">
      <c r="A228" s="18"/>
      <c r="B228" s="18"/>
      <c r="C228" s="18"/>
      <c r="D228" s="18" t="s">
        <v>735</v>
      </c>
      <c r="E228" s="19" t="s">
        <v>734</v>
      </c>
      <c r="F228" s="9">
        <f>Source!AU142</f>
        <v>10</v>
      </c>
      <c r="G228" s="21"/>
      <c r="H228" s="20"/>
      <c r="I228" s="9"/>
      <c r="J228" s="9"/>
      <c r="K228" s="21">
        <f>SUM(T224:T227)</f>
        <v>5.56</v>
      </c>
      <c r="L228" s="21"/>
    </row>
    <row r="229" spans="1:22" ht="14.25" x14ac:dyDescent="0.2">
      <c r="A229" s="18"/>
      <c r="B229" s="18"/>
      <c r="C229" s="18"/>
      <c r="D229" s="18" t="s">
        <v>736</v>
      </c>
      <c r="E229" s="19" t="s">
        <v>737</v>
      </c>
      <c r="F229" s="9">
        <f>Source!AQ142</f>
        <v>0.45</v>
      </c>
      <c r="G229" s="21"/>
      <c r="H229" s="20" t="str">
        <f>Source!DI142</f>
        <v/>
      </c>
      <c r="I229" s="9">
        <f>Source!AV142</f>
        <v>1</v>
      </c>
      <c r="J229" s="9"/>
      <c r="K229" s="21"/>
      <c r="L229" s="21">
        <f>Source!U142</f>
        <v>9.0000000000000011E-2</v>
      </c>
    </row>
    <row r="230" spans="1:22" ht="15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51">
        <f>K226+K227+K228</f>
        <v>100.03</v>
      </c>
      <c r="K230" s="51"/>
      <c r="L230" s="24">
        <f>IF(Source!I142&lt;&gt;0, ROUND(J230/Source!I142, 2), 0)</f>
        <v>500.15</v>
      </c>
      <c r="P230" s="22">
        <f>J230</f>
        <v>100.03</v>
      </c>
    </row>
    <row r="231" spans="1:22" ht="42.75" x14ac:dyDescent="0.2">
      <c r="A231" s="18">
        <v>24</v>
      </c>
      <c r="B231" s="18">
        <v>24</v>
      </c>
      <c r="C231" s="18" t="str">
        <f>Source!F143</f>
        <v>1.23-2103-18-1/1</v>
      </c>
      <c r="D231" s="18" t="str">
        <f>Source!G143</f>
        <v>Техническое обслуживание термометра биметаллического, дилатометрического</v>
      </c>
      <c r="E231" s="19" t="str">
        <f>Source!H143</f>
        <v>шт.</v>
      </c>
      <c r="F231" s="9">
        <f>Source!I143</f>
        <v>3</v>
      </c>
      <c r="G231" s="21"/>
      <c r="H231" s="20"/>
      <c r="I231" s="9"/>
      <c r="J231" s="9"/>
      <c r="K231" s="21"/>
      <c r="L231" s="21"/>
      <c r="Q231">
        <f>ROUND((Source!BZ143/100)*ROUND((Source!AF143*Source!AV143)*Source!I143, 2), 2)</f>
        <v>923.96</v>
      </c>
      <c r="R231">
        <f>Source!X143</f>
        <v>923.96</v>
      </c>
      <c r="S231">
        <f>ROUND((Source!CA143/100)*ROUND((Source!AF143*Source!AV143)*Source!I143, 2), 2)</f>
        <v>131.99</v>
      </c>
      <c r="T231">
        <f>Source!Y143</f>
        <v>131.99</v>
      </c>
      <c r="U231">
        <f>ROUND((175/100)*ROUND((Source!AE143*Source!AV143)*Source!I143, 2), 2)</f>
        <v>0</v>
      </c>
      <c r="V231">
        <f>ROUND((108/100)*ROUND(Source!CS143*Source!I143, 2), 2)</f>
        <v>0</v>
      </c>
    </row>
    <row r="232" spans="1:22" x14ac:dyDescent="0.2">
      <c r="D232" s="25" t="str">
        <f>"Объем: "&amp;Source!I143&amp;"=2+"&amp;"1"</f>
        <v>Объем: 3=2+1</v>
      </c>
    </row>
    <row r="233" spans="1:22" ht="14.25" x14ac:dyDescent="0.2">
      <c r="A233" s="18"/>
      <c r="B233" s="18"/>
      <c r="C233" s="18"/>
      <c r="D233" s="18" t="s">
        <v>731</v>
      </c>
      <c r="E233" s="19"/>
      <c r="F233" s="9"/>
      <c r="G233" s="21">
        <f>Source!AO143</f>
        <v>219.99</v>
      </c>
      <c r="H233" s="20" t="str">
        <f>Source!DG143</f>
        <v>)*2</v>
      </c>
      <c r="I233" s="9">
        <f>Source!AV143</f>
        <v>1</v>
      </c>
      <c r="J233" s="9">
        <f>IF(Source!BA143&lt;&gt; 0, Source!BA143, 1)</f>
        <v>1</v>
      </c>
      <c r="K233" s="21">
        <f>Source!S143</f>
        <v>1319.94</v>
      </c>
      <c r="L233" s="21"/>
    </row>
    <row r="234" spans="1:22" ht="14.25" x14ac:dyDescent="0.2">
      <c r="A234" s="18"/>
      <c r="B234" s="18"/>
      <c r="C234" s="18"/>
      <c r="D234" s="18" t="s">
        <v>732</v>
      </c>
      <c r="E234" s="19"/>
      <c r="F234" s="9"/>
      <c r="G234" s="21">
        <f>Source!AL143</f>
        <v>19.14</v>
      </c>
      <c r="H234" s="20" t="str">
        <f>Source!DD143</f>
        <v>)*2</v>
      </c>
      <c r="I234" s="9">
        <f>Source!AW143</f>
        <v>1</v>
      </c>
      <c r="J234" s="9">
        <f>IF(Source!BC143&lt;&gt; 0, Source!BC143, 1)</f>
        <v>1</v>
      </c>
      <c r="K234" s="21">
        <f>Source!P143</f>
        <v>114.84</v>
      </c>
      <c r="L234" s="21"/>
    </row>
    <row r="235" spans="1:22" ht="14.25" x14ac:dyDescent="0.2">
      <c r="A235" s="18"/>
      <c r="B235" s="18"/>
      <c r="C235" s="18"/>
      <c r="D235" s="18" t="s">
        <v>733</v>
      </c>
      <c r="E235" s="19" t="s">
        <v>734</v>
      </c>
      <c r="F235" s="9">
        <f>Source!AT143</f>
        <v>70</v>
      </c>
      <c r="G235" s="21"/>
      <c r="H235" s="20"/>
      <c r="I235" s="9"/>
      <c r="J235" s="9"/>
      <c r="K235" s="21">
        <f>SUM(R231:R234)</f>
        <v>923.96</v>
      </c>
      <c r="L235" s="21"/>
    </row>
    <row r="236" spans="1:22" ht="14.25" x14ac:dyDescent="0.2">
      <c r="A236" s="18"/>
      <c r="B236" s="18"/>
      <c r="C236" s="18"/>
      <c r="D236" s="18" t="s">
        <v>735</v>
      </c>
      <c r="E236" s="19" t="s">
        <v>734</v>
      </c>
      <c r="F236" s="9">
        <f>Source!AU143</f>
        <v>10</v>
      </c>
      <c r="G236" s="21"/>
      <c r="H236" s="20"/>
      <c r="I236" s="9"/>
      <c r="J236" s="9"/>
      <c r="K236" s="21">
        <f>SUM(T231:T235)</f>
        <v>131.99</v>
      </c>
      <c r="L236" s="21"/>
    </row>
    <row r="237" spans="1:22" ht="14.25" x14ac:dyDescent="0.2">
      <c r="A237" s="18"/>
      <c r="B237" s="18"/>
      <c r="C237" s="18"/>
      <c r="D237" s="18" t="s">
        <v>736</v>
      </c>
      <c r="E237" s="19" t="s">
        <v>737</v>
      </c>
      <c r="F237" s="9">
        <f>Source!AQ143</f>
        <v>0.31</v>
      </c>
      <c r="G237" s="21"/>
      <c r="H237" s="20" t="str">
        <f>Source!DI143</f>
        <v>)*2</v>
      </c>
      <c r="I237" s="9">
        <f>Source!AV143</f>
        <v>1</v>
      </c>
      <c r="J237" s="9"/>
      <c r="K237" s="21"/>
      <c r="L237" s="21">
        <f>Source!U143</f>
        <v>1.8599999999999999</v>
      </c>
    </row>
    <row r="238" spans="1:22" ht="15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51">
        <f>K233+K234+K235+K236</f>
        <v>2490.7299999999996</v>
      </c>
      <c r="K238" s="51"/>
      <c r="L238" s="24">
        <f>IF(Source!I143&lt;&gt;0, ROUND(J238/Source!I143, 2), 0)</f>
        <v>830.24</v>
      </c>
      <c r="P238" s="22">
        <f>J238</f>
        <v>2490.7299999999996</v>
      </c>
    </row>
    <row r="239" spans="1:22" ht="42.75" x14ac:dyDescent="0.2">
      <c r="A239" s="18">
        <v>25</v>
      </c>
      <c r="B239" s="18">
        <v>25</v>
      </c>
      <c r="C239" s="18" t="str">
        <f>Source!F144</f>
        <v>1.15-2203-7-3/1</v>
      </c>
      <c r="D239" s="18" t="str">
        <f>Source!G144</f>
        <v>Техническое обслуживание крана шарового латунного никелированного диаметром до 100 мм</v>
      </c>
      <c r="E239" s="19" t="str">
        <f>Source!H144</f>
        <v>10 шт.</v>
      </c>
      <c r="F239" s="9">
        <f>Source!I144</f>
        <v>0.2</v>
      </c>
      <c r="G239" s="21"/>
      <c r="H239" s="20"/>
      <c r="I239" s="9"/>
      <c r="J239" s="9"/>
      <c r="K239" s="21"/>
      <c r="L239" s="21"/>
      <c r="Q239">
        <f>ROUND((Source!BZ144/100)*ROUND((Source!AF144*Source!AV144)*Source!I144, 2), 2)</f>
        <v>79.53</v>
      </c>
      <c r="R239">
        <f>Source!X144</f>
        <v>79.53</v>
      </c>
      <c r="S239">
        <f>ROUND((Source!CA144/100)*ROUND((Source!AF144*Source!AV144)*Source!I144, 2), 2)</f>
        <v>11.36</v>
      </c>
      <c r="T239">
        <f>Source!Y144</f>
        <v>11.36</v>
      </c>
      <c r="U239">
        <f>ROUND((175/100)*ROUND((Source!AE144*Source!AV144)*Source!I144, 2), 2)</f>
        <v>0</v>
      </c>
      <c r="V239">
        <f>ROUND((108/100)*ROUND(Source!CS144*Source!I144, 2), 2)</f>
        <v>0</v>
      </c>
    </row>
    <row r="240" spans="1:22" x14ac:dyDescent="0.2">
      <c r="D240" s="25" t="str">
        <f>"Объем: "&amp;Source!I144&amp;"=2/"&amp;"10"</f>
        <v>Объем: 0,2=2/10</v>
      </c>
    </row>
    <row r="241" spans="1:22" ht="14.25" x14ac:dyDescent="0.2">
      <c r="A241" s="18"/>
      <c r="B241" s="18"/>
      <c r="C241" s="18"/>
      <c r="D241" s="18" t="s">
        <v>731</v>
      </c>
      <c r="E241" s="19"/>
      <c r="F241" s="9"/>
      <c r="G241" s="21">
        <f>Source!AO144</f>
        <v>568.09</v>
      </c>
      <c r="H241" s="20" t="str">
        <f>Source!DG144</f>
        <v/>
      </c>
      <c r="I241" s="9">
        <f>Source!AV144</f>
        <v>1</v>
      </c>
      <c r="J241" s="9">
        <f>IF(Source!BA144&lt;&gt; 0, Source!BA144, 1)</f>
        <v>1</v>
      </c>
      <c r="K241" s="21">
        <f>Source!S144</f>
        <v>113.62</v>
      </c>
      <c r="L241" s="21"/>
    </row>
    <row r="242" spans="1:22" ht="14.25" x14ac:dyDescent="0.2">
      <c r="A242" s="18"/>
      <c r="B242" s="18"/>
      <c r="C242" s="18"/>
      <c r="D242" s="18" t="s">
        <v>733</v>
      </c>
      <c r="E242" s="19" t="s">
        <v>734</v>
      </c>
      <c r="F242" s="9">
        <f>Source!AT144</f>
        <v>70</v>
      </c>
      <c r="G242" s="21"/>
      <c r="H242" s="20"/>
      <c r="I242" s="9"/>
      <c r="J242" s="9"/>
      <c r="K242" s="21">
        <f>SUM(R239:R241)</f>
        <v>79.53</v>
      </c>
      <c r="L242" s="21"/>
    </row>
    <row r="243" spans="1:22" ht="14.25" x14ac:dyDescent="0.2">
      <c r="A243" s="18"/>
      <c r="B243" s="18"/>
      <c r="C243" s="18"/>
      <c r="D243" s="18" t="s">
        <v>735</v>
      </c>
      <c r="E243" s="19" t="s">
        <v>734</v>
      </c>
      <c r="F243" s="9">
        <f>Source!AU144</f>
        <v>10</v>
      </c>
      <c r="G243" s="21"/>
      <c r="H243" s="20"/>
      <c r="I243" s="9"/>
      <c r="J243" s="9"/>
      <c r="K243" s="21">
        <f>SUM(T239:T242)</f>
        <v>11.36</v>
      </c>
      <c r="L243" s="21"/>
    </row>
    <row r="244" spans="1:22" ht="14.25" x14ac:dyDescent="0.2">
      <c r="A244" s="18"/>
      <c r="B244" s="18"/>
      <c r="C244" s="18"/>
      <c r="D244" s="18" t="s">
        <v>736</v>
      </c>
      <c r="E244" s="19" t="s">
        <v>737</v>
      </c>
      <c r="F244" s="9">
        <f>Source!AQ144</f>
        <v>0.92</v>
      </c>
      <c r="G244" s="21"/>
      <c r="H244" s="20" t="str">
        <f>Source!DI144</f>
        <v/>
      </c>
      <c r="I244" s="9">
        <f>Source!AV144</f>
        <v>1</v>
      </c>
      <c r="J244" s="9"/>
      <c r="K244" s="21"/>
      <c r="L244" s="21">
        <f>Source!U144</f>
        <v>0.18400000000000002</v>
      </c>
    </row>
    <row r="245" spans="1:22" ht="15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51">
        <f>K241+K242+K243</f>
        <v>204.51</v>
      </c>
      <c r="K245" s="51"/>
      <c r="L245" s="24">
        <f>IF(Source!I144&lt;&gt;0, ROUND(J245/Source!I144, 2), 0)</f>
        <v>1022.55</v>
      </c>
      <c r="P245" s="22">
        <f>J245</f>
        <v>204.51</v>
      </c>
    </row>
    <row r="246" spans="1:22" ht="42.75" x14ac:dyDescent="0.2">
      <c r="A246" s="18">
        <v>26</v>
      </c>
      <c r="B246" s="18">
        <v>26</v>
      </c>
      <c r="C246" s="18" t="str">
        <f>Source!F145</f>
        <v>1.15-2303-5-1/1</v>
      </c>
      <c r="D246" s="18" t="str">
        <f>Source!G145</f>
        <v>Техническое обслуживание фильтров водяных фланцевых сетчатых диаметром до 65 мм</v>
      </c>
      <c r="E246" s="19" t="str">
        <f>Source!H145</f>
        <v>10 шт.</v>
      </c>
      <c r="F246" s="9">
        <f>Source!I145</f>
        <v>0.1</v>
      </c>
      <c r="G246" s="21"/>
      <c r="H246" s="20"/>
      <c r="I246" s="9"/>
      <c r="J246" s="9"/>
      <c r="K246" s="21"/>
      <c r="L246" s="21"/>
      <c r="Q246">
        <f>ROUND((Source!BZ145/100)*ROUND((Source!AF145*Source!AV145)*Source!I145, 2), 2)</f>
        <v>141.66999999999999</v>
      </c>
      <c r="R246">
        <f>Source!X145</f>
        <v>141.66999999999999</v>
      </c>
      <c r="S246">
        <f>ROUND((Source!CA145/100)*ROUND((Source!AF145*Source!AV145)*Source!I145, 2), 2)</f>
        <v>20.239999999999998</v>
      </c>
      <c r="T246">
        <f>Source!Y145</f>
        <v>20.239999999999998</v>
      </c>
      <c r="U246">
        <f>ROUND((175/100)*ROUND((Source!AE145*Source!AV145)*Source!I145, 2), 2)</f>
        <v>0</v>
      </c>
      <c r="V246">
        <f>ROUND((108/100)*ROUND(Source!CS145*Source!I145, 2), 2)</f>
        <v>0</v>
      </c>
    </row>
    <row r="247" spans="1:22" x14ac:dyDescent="0.2">
      <c r="D247" s="25" t="str">
        <f>"Объем: "&amp;Source!I145&amp;"=1/"&amp;"10"</f>
        <v>Объем: 0,1=1/10</v>
      </c>
    </row>
    <row r="248" spans="1:22" ht="14.25" x14ac:dyDescent="0.2">
      <c r="A248" s="18"/>
      <c r="B248" s="18"/>
      <c r="C248" s="18"/>
      <c r="D248" s="18" t="s">
        <v>731</v>
      </c>
      <c r="E248" s="19"/>
      <c r="F248" s="9"/>
      <c r="G248" s="21">
        <f>Source!AO145</f>
        <v>2023.81</v>
      </c>
      <c r="H248" s="20" t="str">
        <f>Source!DG145</f>
        <v/>
      </c>
      <c r="I248" s="9">
        <f>Source!AV145</f>
        <v>1</v>
      </c>
      <c r="J248" s="9">
        <f>IF(Source!BA145&lt;&gt; 0, Source!BA145, 1)</f>
        <v>1</v>
      </c>
      <c r="K248" s="21">
        <f>Source!S145</f>
        <v>202.38</v>
      </c>
      <c r="L248" s="21"/>
    </row>
    <row r="249" spans="1:22" ht="14.25" x14ac:dyDescent="0.2">
      <c r="A249" s="18"/>
      <c r="B249" s="18"/>
      <c r="C249" s="18"/>
      <c r="D249" s="18" t="s">
        <v>732</v>
      </c>
      <c r="E249" s="19"/>
      <c r="F249" s="9"/>
      <c r="G249" s="21">
        <f>Source!AL145</f>
        <v>0.38</v>
      </c>
      <c r="H249" s="20" t="str">
        <f>Source!DD145</f>
        <v/>
      </c>
      <c r="I249" s="9">
        <f>Source!AW145</f>
        <v>1</v>
      </c>
      <c r="J249" s="9">
        <f>IF(Source!BC145&lt;&gt; 0, Source!BC145, 1)</f>
        <v>1</v>
      </c>
      <c r="K249" s="21">
        <f>Source!P145</f>
        <v>0.04</v>
      </c>
      <c r="L249" s="21"/>
    </row>
    <row r="250" spans="1:22" ht="57" x14ac:dyDescent="0.2">
      <c r="A250" s="18" t="s">
        <v>215</v>
      </c>
      <c r="B250" s="18" t="s">
        <v>215</v>
      </c>
      <c r="C250" s="18" t="str">
        <f>Source!F146</f>
        <v>21.26-1-110</v>
      </c>
      <c r="D250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E250" s="19" t="str">
        <f>Source!H146</f>
        <v>шт.</v>
      </c>
      <c r="F250" s="9">
        <f>Source!I146</f>
        <v>4</v>
      </c>
      <c r="G250" s="21">
        <f>Source!AK146</f>
        <v>207.47</v>
      </c>
      <c r="H250" s="28" t="s">
        <v>3</v>
      </c>
      <c r="I250" s="9">
        <f>Source!AW146</f>
        <v>1</v>
      </c>
      <c r="J250" s="9">
        <f>IF(Source!BC146&lt;&gt; 0, Source!BC146, 1)</f>
        <v>1</v>
      </c>
      <c r="K250" s="21">
        <f>Source!O146</f>
        <v>829.88</v>
      </c>
      <c r="L250" s="21"/>
      <c r="Q250">
        <f>ROUND((Source!BZ146/100)*ROUND((Source!AF146*Source!AV146)*Source!I146, 2), 2)</f>
        <v>0</v>
      </c>
      <c r="R250">
        <f>Source!X146</f>
        <v>0</v>
      </c>
      <c r="S250">
        <f>ROUND((Source!CA146/100)*ROUND((Source!AF146*Source!AV146)*Source!I146, 2), 2)</f>
        <v>0</v>
      </c>
      <c r="T250">
        <f>Source!Y146</f>
        <v>0</v>
      </c>
      <c r="U250">
        <f>ROUND((175/100)*ROUND((Source!AE146*Source!AV146)*Source!I146, 2), 2)</f>
        <v>0</v>
      </c>
      <c r="V250">
        <f>ROUND((108/100)*ROUND(Source!CS146*Source!I146, 2), 2)</f>
        <v>0</v>
      </c>
    </row>
    <row r="251" spans="1:22" ht="14.25" x14ac:dyDescent="0.2">
      <c r="A251" s="18"/>
      <c r="B251" s="18"/>
      <c r="C251" s="18"/>
      <c r="D251" s="18" t="s">
        <v>733</v>
      </c>
      <c r="E251" s="19" t="s">
        <v>734</v>
      </c>
      <c r="F251" s="9">
        <f>Source!AT145</f>
        <v>70</v>
      </c>
      <c r="G251" s="21"/>
      <c r="H251" s="20"/>
      <c r="I251" s="9"/>
      <c r="J251" s="9"/>
      <c r="K251" s="21">
        <f>SUM(R246:R250)</f>
        <v>141.66999999999999</v>
      </c>
      <c r="L251" s="21"/>
    </row>
    <row r="252" spans="1:22" ht="14.25" x14ac:dyDescent="0.2">
      <c r="A252" s="18"/>
      <c r="B252" s="18"/>
      <c r="C252" s="18"/>
      <c r="D252" s="18" t="s">
        <v>735</v>
      </c>
      <c r="E252" s="19" t="s">
        <v>734</v>
      </c>
      <c r="F252" s="9">
        <f>Source!AU145</f>
        <v>10</v>
      </c>
      <c r="G252" s="21"/>
      <c r="H252" s="20"/>
      <c r="I252" s="9"/>
      <c r="J252" s="9"/>
      <c r="K252" s="21">
        <f>SUM(T246:T251)</f>
        <v>20.239999999999998</v>
      </c>
      <c r="L252" s="21"/>
    </row>
    <row r="253" spans="1:22" ht="14.25" x14ac:dyDescent="0.2">
      <c r="A253" s="18"/>
      <c r="B253" s="18"/>
      <c r="C253" s="18"/>
      <c r="D253" s="18" t="s">
        <v>736</v>
      </c>
      <c r="E253" s="19" t="s">
        <v>737</v>
      </c>
      <c r="F253" s="9">
        <f>Source!AQ145</f>
        <v>3.6</v>
      </c>
      <c r="G253" s="21"/>
      <c r="H253" s="20" t="str">
        <f>Source!DI145</f>
        <v/>
      </c>
      <c r="I253" s="9">
        <f>Source!AV145</f>
        <v>1</v>
      </c>
      <c r="J253" s="9"/>
      <c r="K253" s="21"/>
      <c r="L253" s="21">
        <f>Source!U145</f>
        <v>0.36000000000000004</v>
      </c>
    </row>
    <row r="254" spans="1:22" ht="15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51">
        <f>K248+K249+K251+K252+SUM(K250:K250)</f>
        <v>1194.21</v>
      </c>
      <c r="K254" s="51"/>
      <c r="L254" s="24">
        <f>IF(Source!I145&lt;&gt;0, ROUND(J254/Source!I145, 2), 0)</f>
        <v>11942.1</v>
      </c>
      <c r="P254" s="22">
        <f>J254</f>
        <v>1194.21</v>
      </c>
    </row>
    <row r="256" spans="1:22" ht="15" x14ac:dyDescent="0.25">
      <c r="C256" s="52" t="str">
        <f>Source!G147</f>
        <v>Стандартный насосный узел смешения серии АУУ-С-080-100-C-R V2</v>
      </c>
      <c r="D256" s="52"/>
      <c r="E256" s="52"/>
      <c r="F256" s="52"/>
      <c r="G256" s="52"/>
      <c r="H256" s="52"/>
      <c r="I256" s="52"/>
      <c r="J256" s="52"/>
      <c r="K256" s="52"/>
    </row>
    <row r="257" spans="1:22" ht="42.75" x14ac:dyDescent="0.2">
      <c r="A257" s="18">
        <v>27</v>
      </c>
      <c r="B257" s="18">
        <v>27</v>
      </c>
      <c r="C257" s="18" t="str">
        <f>Source!F151</f>
        <v>1.23-2103-41-1/1</v>
      </c>
      <c r="D257" s="18" t="str">
        <f>Source!G151</f>
        <v>Техническое обслуживание регулирующего клапана / Регулирующий клапан  Данфосс</v>
      </c>
      <c r="E257" s="19" t="str">
        <f>Source!H151</f>
        <v>шт.</v>
      </c>
      <c r="F257" s="9">
        <f>Source!I151</f>
        <v>1</v>
      </c>
      <c r="G257" s="21"/>
      <c r="H257" s="20"/>
      <c r="I257" s="9"/>
      <c r="J257" s="9"/>
      <c r="K257" s="21"/>
      <c r="L257" s="21"/>
      <c r="Q257">
        <f>ROUND((Source!BZ151/100)*ROUND((Source!AF151*Source!AV151)*Source!I151, 2), 2)</f>
        <v>291.2</v>
      </c>
      <c r="R257">
        <f>Source!X151</f>
        <v>291.2</v>
      </c>
      <c r="S257">
        <f>ROUND((Source!CA151/100)*ROUND((Source!AF151*Source!AV151)*Source!I151, 2), 2)</f>
        <v>41.6</v>
      </c>
      <c r="T257">
        <f>Source!Y151</f>
        <v>41.6</v>
      </c>
      <c r="U257">
        <f>ROUND((175/100)*ROUND((Source!AE151*Source!AV151)*Source!I151, 2), 2)</f>
        <v>173.5</v>
      </c>
      <c r="V257">
        <f>ROUND((108/100)*ROUND(Source!CS151*Source!I151, 2), 2)</f>
        <v>107.07</v>
      </c>
    </row>
    <row r="258" spans="1:22" ht="14.25" x14ac:dyDescent="0.2">
      <c r="A258" s="18"/>
      <c r="B258" s="18"/>
      <c r="C258" s="18"/>
      <c r="D258" s="18" t="s">
        <v>731</v>
      </c>
      <c r="E258" s="19"/>
      <c r="F258" s="9"/>
      <c r="G258" s="21">
        <f>Source!AO151</f>
        <v>208</v>
      </c>
      <c r="H258" s="20" t="str">
        <f>Source!DG151</f>
        <v>)*2</v>
      </c>
      <c r="I258" s="9">
        <f>Source!AV151</f>
        <v>1</v>
      </c>
      <c r="J258" s="9">
        <f>IF(Source!BA151&lt;&gt; 0, Source!BA151, 1)</f>
        <v>1</v>
      </c>
      <c r="K258" s="21">
        <f>Source!S151</f>
        <v>416</v>
      </c>
      <c r="L258" s="21"/>
    </row>
    <row r="259" spans="1:22" ht="14.25" x14ac:dyDescent="0.2">
      <c r="A259" s="18"/>
      <c r="B259" s="18"/>
      <c r="C259" s="18"/>
      <c r="D259" s="18" t="s">
        <v>738</v>
      </c>
      <c r="E259" s="19"/>
      <c r="F259" s="9"/>
      <c r="G259" s="21">
        <f>Source!AM151</f>
        <v>78.180000000000007</v>
      </c>
      <c r="H259" s="20" t="str">
        <f>Source!DE151</f>
        <v>)*2</v>
      </c>
      <c r="I259" s="9">
        <f>Source!AV151</f>
        <v>1</v>
      </c>
      <c r="J259" s="9">
        <f>IF(Source!BB151&lt;&gt; 0, Source!BB151, 1)</f>
        <v>1</v>
      </c>
      <c r="K259" s="21">
        <f>Source!Q151</f>
        <v>156.36000000000001</v>
      </c>
      <c r="L259" s="21"/>
    </row>
    <row r="260" spans="1:22" ht="14.25" x14ac:dyDescent="0.2">
      <c r="A260" s="18"/>
      <c r="B260" s="18"/>
      <c r="C260" s="18"/>
      <c r="D260" s="18" t="s">
        <v>739</v>
      </c>
      <c r="E260" s="19"/>
      <c r="F260" s="9"/>
      <c r="G260" s="21">
        <f>Source!AN151</f>
        <v>49.57</v>
      </c>
      <c r="H260" s="20" t="str">
        <f>Source!DF151</f>
        <v>)*2</v>
      </c>
      <c r="I260" s="9">
        <f>Source!AV151</f>
        <v>1</v>
      </c>
      <c r="J260" s="9">
        <f>IF(Source!BS151&lt;&gt; 0, Source!BS151, 1)</f>
        <v>1</v>
      </c>
      <c r="K260" s="27">
        <f>Source!R151</f>
        <v>99.14</v>
      </c>
      <c r="L260" s="21"/>
    </row>
    <row r="261" spans="1:22" ht="14.25" x14ac:dyDescent="0.2">
      <c r="A261" s="18"/>
      <c r="B261" s="18"/>
      <c r="C261" s="18"/>
      <c r="D261" s="18" t="s">
        <v>733</v>
      </c>
      <c r="E261" s="19" t="s">
        <v>734</v>
      </c>
      <c r="F261" s="9">
        <f>Source!AT151</f>
        <v>70</v>
      </c>
      <c r="G261" s="21"/>
      <c r="H261" s="20"/>
      <c r="I261" s="9"/>
      <c r="J261" s="9"/>
      <c r="K261" s="21">
        <f>SUM(R257:R260)</f>
        <v>291.2</v>
      </c>
      <c r="L261" s="21"/>
    </row>
    <row r="262" spans="1:22" ht="14.25" x14ac:dyDescent="0.2">
      <c r="A262" s="18"/>
      <c r="B262" s="18"/>
      <c r="C262" s="18"/>
      <c r="D262" s="18" t="s">
        <v>735</v>
      </c>
      <c r="E262" s="19" t="s">
        <v>734</v>
      </c>
      <c r="F262" s="9">
        <f>Source!AU151</f>
        <v>10</v>
      </c>
      <c r="G262" s="21"/>
      <c r="H262" s="20"/>
      <c r="I262" s="9"/>
      <c r="J262" s="9"/>
      <c r="K262" s="21">
        <f>SUM(T257:T261)</f>
        <v>41.6</v>
      </c>
      <c r="L262" s="21"/>
    </row>
    <row r="263" spans="1:22" ht="14.25" x14ac:dyDescent="0.2">
      <c r="A263" s="18"/>
      <c r="B263" s="18"/>
      <c r="C263" s="18"/>
      <c r="D263" s="18" t="s">
        <v>740</v>
      </c>
      <c r="E263" s="19" t="s">
        <v>734</v>
      </c>
      <c r="F263" s="9">
        <f>108</f>
        <v>108</v>
      </c>
      <c r="G263" s="21"/>
      <c r="H263" s="20"/>
      <c r="I263" s="9"/>
      <c r="J263" s="9"/>
      <c r="K263" s="21">
        <f>SUM(V257:V262)</f>
        <v>107.07</v>
      </c>
      <c r="L263" s="21"/>
    </row>
    <row r="264" spans="1:22" ht="14.25" x14ac:dyDescent="0.2">
      <c r="A264" s="18"/>
      <c r="B264" s="18"/>
      <c r="C264" s="18"/>
      <c r="D264" s="18" t="s">
        <v>736</v>
      </c>
      <c r="E264" s="19" t="s">
        <v>737</v>
      </c>
      <c r="F264" s="9">
        <f>Source!AQ151</f>
        <v>0.37</v>
      </c>
      <c r="G264" s="21"/>
      <c r="H264" s="20" t="str">
        <f>Source!DI151</f>
        <v>)*2</v>
      </c>
      <c r="I264" s="9">
        <f>Source!AV151</f>
        <v>1</v>
      </c>
      <c r="J264" s="9"/>
      <c r="K264" s="21"/>
      <c r="L264" s="21">
        <f>Source!U151</f>
        <v>0.74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51">
        <f>K258+K259+K261+K262+K263</f>
        <v>1012.23</v>
      </c>
      <c r="K265" s="51"/>
      <c r="L265" s="24">
        <f>IF(Source!I151&lt;&gt;0, ROUND(J265/Source!I151, 2), 0)</f>
        <v>1012.23</v>
      </c>
      <c r="P265" s="22">
        <f>J265</f>
        <v>1012.23</v>
      </c>
    </row>
    <row r="266" spans="1:22" ht="57" x14ac:dyDescent="0.2">
      <c r="A266" s="18">
        <v>28</v>
      </c>
      <c r="B266" s="18">
        <v>28</v>
      </c>
      <c r="C266" s="18" t="str">
        <f>Source!F152</f>
        <v>1.23-2303-4-4/1</v>
      </c>
      <c r="D266" s="18" t="str">
        <f>Source!G152</f>
        <v>Техническое обслуживание средств автоматизации, механизмы электрические однооборотные МЭО, ИМ</v>
      </c>
      <c r="E266" s="19" t="str">
        <f>Source!H152</f>
        <v>шт.</v>
      </c>
      <c r="F266" s="9">
        <f>Source!I152</f>
        <v>1</v>
      </c>
      <c r="G266" s="21"/>
      <c r="H266" s="20"/>
      <c r="I266" s="9"/>
      <c r="J266" s="9"/>
      <c r="K266" s="21"/>
      <c r="L266" s="21"/>
      <c r="Q266">
        <f>ROUND((Source!BZ152/100)*ROUND((Source!AF152*Source!AV152)*Source!I152, 2), 2)</f>
        <v>1881.24</v>
      </c>
      <c r="R266">
        <f>Source!X152</f>
        <v>1881.24</v>
      </c>
      <c r="S266">
        <f>ROUND((Source!CA152/100)*ROUND((Source!AF152*Source!AV152)*Source!I152, 2), 2)</f>
        <v>268.75</v>
      </c>
      <c r="T266">
        <f>Source!Y152</f>
        <v>268.75</v>
      </c>
      <c r="U266">
        <f>ROUND((175/100)*ROUND((Source!AE152*Source!AV152)*Source!I152, 2), 2)</f>
        <v>0</v>
      </c>
      <c r="V266">
        <f>ROUND((108/100)*ROUND(Source!CS152*Source!I152, 2), 2)</f>
        <v>0</v>
      </c>
    </row>
    <row r="267" spans="1:22" ht="14.25" x14ac:dyDescent="0.2">
      <c r="A267" s="18"/>
      <c r="B267" s="18"/>
      <c r="C267" s="18"/>
      <c r="D267" s="18" t="s">
        <v>731</v>
      </c>
      <c r="E267" s="19"/>
      <c r="F267" s="9"/>
      <c r="G267" s="21">
        <f>Source!AO152</f>
        <v>1343.74</v>
      </c>
      <c r="H267" s="20" t="str">
        <f>Source!DG152</f>
        <v>)*2</v>
      </c>
      <c r="I267" s="9">
        <f>Source!AV152</f>
        <v>1</v>
      </c>
      <c r="J267" s="9">
        <f>IF(Source!BA152&lt;&gt; 0, Source!BA152, 1)</f>
        <v>1</v>
      </c>
      <c r="K267" s="21">
        <f>Source!S152</f>
        <v>2687.48</v>
      </c>
      <c r="L267" s="21"/>
    </row>
    <row r="268" spans="1:22" ht="14.25" x14ac:dyDescent="0.2">
      <c r="A268" s="18"/>
      <c r="B268" s="18"/>
      <c r="C268" s="18"/>
      <c r="D268" s="18" t="s">
        <v>733</v>
      </c>
      <c r="E268" s="19" t="s">
        <v>734</v>
      </c>
      <c r="F268" s="9">
        <f>Source!AT152</f>
        <v>70</v>
      </c>
      <c r="G268" s="21"/>
      <c r="H268" s="20"/>
      <c r="I268" s="9"/>
      <c r="J268" s="9"/>
      <c r="K268" s="21">
        <f>SUM(R266:R267)</f>
        <v>1881.24</v>
      </c>
      <c r="L268" s="21"/>
    </row>
    <row r="269" spans="1:22" ht="14.25" x14ac:dyDescent="0.2">
      <c r="A269" s="18"/>
      <c r="B269" s="18"/>
      <c r="C269" s="18"/>
      <c r="D269" s="18" t="s">
        <v>735</v>
      </c>
      <c r="E269" s="19" t="s">
        <v>734</v>
      </c>
      <c r="F269" s="9">
        <f>Source!AU152</f>
        <v>10</v>
      </c>
      <c r="G269" s="21"/>
      <c r="H269" s="20"/>
      <c r="I269" s="9"/>
      <c r="J269" s="9"/>
      <c r="K269" s="21">
        <f>SUM(T266:T268)</f>
        <v>268.75</v>
      </c>
      <c r="L269" s="21"/>
    </row>
    <row r="270" spans="1:22" ht="14.25" x14ac:dyDescent="0.2">
      <c r="A270" s="18"/>
      <c r="B270" s="18"/>
      <c r="C270" s="18"/>
      <c r="D270" s="18" t="s">
        <v>736</v>
      </c>
      <c r="E270" s="19" t="s">
        <v>737</v>
      </c>
      <c r="F270" s="9">
        <f>Source!AQ152</f>
        <v>1.62</v>
      </c>
      <c r="G270" s="21"/>
      <c r="H270" s="20" t="str">
        <f>Source!DI152</f>
        <v>)*2</v>
      </c>
      <c r="I270" s="9">
        <f>Source!AV152</f>
        <v>1</v>
      </c>
      <c r="J270" s="9"/>
      <c r="K270" s="21"/>
      <c r="L270" s="21">
        <f>Source!U152</f>
        <v>3.24</v>
      </c>
    </row>
    <row r="271" spans="1:22" ht="15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51">
        <f>K267+K268+K269</f>
        <v>4837.47</v>
      </c>
      <c r="K271" s="51"/>
      <c r="L271" s="24">
        <f>IF(Source!I152&lt;&gt;0, ROUND(J271/Source!I152, 2), 0)</f>
        <v>4837.47</v>
      </c>
      <c r="P271" s="22">
        <f>J271</f>
        <v>4837.47</v>
      </c>
    </row>
    <row r="272" spans="1:22" ht="42.75" x14ac:dyDescent="0.2">
      <c r="A272" s="18">
        <v>29</v>
      </c>
      <c r="B272" s="18">
        <v>29</v>
      </c>
      <c r="C272" s="18" t="str">
        <f>Source!F153</f>
        <v>1.15-2203-9-2/1</v>
      </c>
      <c r="D272" s="18" t="str">
        <f>Source!G153</f>
        <v>Техническое обслуживание клапанов обратных фланцевых диаметром 100-150 мм</v>
      </c>
      <c r="E272" s="19" t="str">
        <f>Source!H153</f>
        <v>шт.</v>
      </c>
      <c r="F272" s="9">
        <f>Source!I153</f>
        <v>3</v>
      </c>
      <c r="G272" s="21"/>
      <c r="H272" s="20"/>
      <c r="I272" s="9"/>
      <c r="J272" s="9"/>
      <c r="K272" s="21"/>
      <c r="L272" s="21"/>
      <c r="Q272">
        <f>ROUND((Source!BZ153/100)*ROUND((Source!AF153*Source!AV153)*Source!I153, 2), 2)</f>
        <v>259.70999999999998</v>
      </c>
      <c r="R272">
        <f>Source!X153</f>
        <v>259.70999999999998</v>
      </c>
      <c r="S272">
        <f>ROUND((Source!CA153/100)*ROUND((Source!AF153*Source!AV153)*Source!I153, 2), 2)</f>
        <v>37.1</v>
      </c>
      <c r="T272">
        <f>Source!Y153</f>
        <v>37.1</v>
      </c>
      <c r="U272">
        <f>ROUND((175/100)*ROUND((Source!AE153*Source!AV153)*Source!I153, 2), 2)</f>
        <v>0</v>
      </c>
      <c r="V272">
        <f>ROUND((108/100)*ROUND(Source!CS153*Source!I153, 2), 2)</f>
        <v>0</v>
      </c>
    </row>
    <row r="273" spans="1:22" x14ac:dyDescent="0.2">
      <c r="D273" s="25" t="str">
        <f>"Объем: "&amp;Source!I153&amp;"=1+"&amp;"2"</f>
        <v>Объем: 3=1+2</v>
      </c>
    </row>
    <row r="274" spans="1:22" ht="14.25" x14ac:dyDescent="0.2">
      <c r="A274" s="18"/>
      <c r="B274" s="18"/>
      <c r="C274" s="18"/>
      <c r="D274" s="18" t="s">
        <v>731</v>
      </c>
      <c r="E274" s="19"/>
      <c r="F274" s="9"/>
      <c r="G274" s="21">
        <f>Source!AO153</f>
        <v>123.67</v>
      </c>
      <c r="H274" s="20" t="str">
        <f>Source!DG153</f>
        <v/>
      </c>
      <c r="I274" s="9">
        <f>Source!AV153</f>
        <v>1</v>
      </c>
      <c r="J274" s="9">
        <f>IF(Source!BA153&lt;&gt; 0, Source!BA153, 1)</f>
        <v>1</v>
      </c>
      <c r="K274" s="21">
        <f>Source!S153</f>
        <v>371.01</v>
      </c>
      <c r="L274" s="21"/>
    </row>
    <row r="275" spans="1:22" ht="14.25" x14ac:dyDescent="0.2">
      <c r="A275" s="18"/>
      <c r="B275" s="18"/>
      <c r="C275" s="18"/>
      <c r="D275" s="18" t="s">
        <v>732</v>
      </c>
      <c r="E275" s="19"/>
      <c r="F275" s="9"/>
      <c r="G275" s="21">
        <f>Source!AL153</f>
        <v>0.63</v>
      </c>
      <c r="H275" s="20" t="str">
        <f>Source!DD153</f>
        <v/>
      </c>
      <c r="I275" s="9">
        <f>Source!AW153</f>
        <v>1</v>
      </c>
      <c r="J275" s="9">
        <f>IF(Source!BC153&lt;&gt; 0, Source!BC153, 1)</f>
        <v>1</v>
      </c>
      <c r="K275" s="21">
        <f>Source!P153</f>
        <v>1.89</v>
      </c>
      <c r="L275" s="21"/>
    </row>
    <row r="276" spans="1:22" ht="14.25" x14ac:dyDescent="0.2">
      <c r="A276" s="18"/>
      <c r="B276" s="18"/>
      <c r="C276" s="18"/>
      <c r="D276" s="18" t="s">
        <v>733</v>
      </c>
      <c r="E276" s="19" t="s">
        <v>734</v>
      </c>
      <c r="F276" s="9">
        <f>Source!AT153</f>
        <v>70</v>
      </c>
      <c r="G276" s="21"/>
      <c r="H276" s="20"/>
      <c r="I276" s="9"/>
      <c r="J276" s="9"/>
      <c r="K276" s="21">
        <f>SUM(R272:R275)</f>
        <v>259.70999999999998</v>
      </c>
      <c r="L276" s="21"/>
    </row>
    <row r="277" spans="1:22" ht="14.25" x14ac:dyDescent="0.2">
      <c r="A277" s="18"/>
      <c r="B277" s="18"/>
      <c r="C277" s="18"/>
      <c r="D277" s="18" t="s">
        <v>735</v>
      </c>
      <c r="E277" s="19" t="s">
        <v>734</v>
      </c>
      <c r="F277" s="9">
        <f>Source!AU153</f>
        <v>10</v>
      </c>
      <c r="G277" s="21"/>
      <c r="H277" s="20"/>
      <c r="I277" s="9"/>
      <c r="J277" s="9"/>
      <c r="K277" s="21">
        <f>SUM(T272:T276)</f>
        <v>37.1</v>
      </c>
      <c r="L277" s="21"/>
    </row>
    <row r="278" spans="1:22" ht="14.25" x14ac:dyDescent="0.2">
      <c r="A278" s="18"/>
      <c r="B278" s="18"/>
      <c r="C278" s="18"/>
      <c r="D278" s="18" t="s">
        <v>736</v>
      </c>
      <c r="E278" s="19" t="s">
        <v>737</v>
      </c>
      <c r="F278" s="9">
        <f>Source!AQ153</f>
        <v>0.22</v>
      </c>
      <c r="G278" s="21"/>
      <c r="H278" s="20" t="str">
        <f>Source!DI153</f>
        <v/>
      </c>
      <c r="I278" s="9">
        <f>Source!AV153</f>
        <v>1</v>
      </c>
      <c r="J278" s="9"/>
      <c r="K278" s="21"/>
      <c r="L278" s="21">
        <f>Source!U153</f>
        <v>0.66</v>
      </c>
    </row>
    <row r="279" spans="1:22" ht="15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51">
        <f>K274+K275+K276+K277</f>
        <v>669.70999999999992</v>
      </c>
      <c r="K279" s="51"/>
      <c r="L279" s="24">
        <f>IF(Source!I153&lt;&gt;0, ROUND(J279/Source!I153, 2), 0)</f>
        <v>223.24</v>
      </c>
      <c r="P279" s="22">
        <f>J279</f>
        <v>669.70999999999992</v>
      </c>
    </row>
    <row r="280" spans="1:22" ht="71.25" x14ac:dyDescent="0.2">
      <c r="A280" s="18">
        <v>30</v>
      </c>
      <c r="B280" s="18">
        <v>30</v>
      </c>
      <c r="C280" s="18" t="str">
        <f>Source!F154</f>
        <v>1.23-2103-9-7/1</v>
      </c>
      <c r="D280" s="18" t="str">
        <f>Source!G154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280" s="19" t="str">
        <f>Source!H154</f>
        <v>шт.</v>
      </c>
      <c r="F280" s="9">
        <f>Source!I154</f>
        <v>3</v>
      </c>
      <c r="G280" s="21"/>
      <c r="H280" s="20"/>
      <c r="I280" s="9"/>
      <c r="J280" s="9"/>
      <c r="K280" s="21"/>
      <c r="L280" s="21"/>
      <c r="Q280">
        <f>ROUND((Source!BZ154/100)*ROUND((Source!AF154*Source!AV154)*Source!I154, 2), 2)</f>
        <v>2074.7600000000002</v>
      </c>
      <c r="R280">
        <f>Source!X154</f>
        <v>2074.7600000000002</v>
      </c>
      <c r="S280">
        <f>ROUND((Source!CA154/100)*ROUND((Source!AF154*Source!AV154)*Source!I154, 2), 2)</f>
        <v>296.39</v>
      </c>
      <c r="T280">
        <f>Source!Y154</f>
        <v>296.39</v>
      </c>
      <c r="U280">
        <f>ROUND((175/100)*ROUND((Source!AE154*Source!AV154)*Source!I154, 2), 2)</f>
        <v>0</v>
      </c>
      <c r="V280">
        <f>ROUND((108/100)*ROUND(Source!CS154*Source!I154, 2), 2)</f>
        <v>0</v>
      </c>
    </row>
    <row r="281" spans="1:22" x14ac:dyDescent="0.2">
      <c r="D281" s="25" t="str">
        <f>"Объем: "&amp;Source!I154&amp;"=2+"&amp;"1"</f>
        <v>Объем: 3=2+1</v>
      </c>
    </row>
    <row r="282" spans="1:22" ht="14.25" x14ac:dyDescent="0.2">
      <c r="A282" s="18"/>
      <c r="B282" s="18"/>
      <c r="C282" s="18"/>
      <c r="D282" s="18" t="s">
        <v>731</v>
      </c>
      <c r="E282" s="19"/>
      <c r="F282" s="9"/>
      <c r="G282" s="21">
        <f>Source!AO154</f>
        <v>493.99</v>
      </c>
      <c r="H282" s="20" t="str">
        <f>Source!DG154</f>
        <v>)*2</v>
      </c>
      <c r="I282" s="9">
        <f>Source!AV154</f>
        <v>1</v>
      </c>
      <c r="J282" s="9">
        <f>IF(Source!BA154&lt;&gt; 0, Source!BA154, 1)</f>
        <v>1</v>
      </c>
      <c r="K282" s="21">
        <f>Source!S154</f>
        <v>2963.94</v>
      </c>
      <c r="L282" s="21"/>
    </row>
    <row r="283" spans="1:22" ht="14.25" x14ac:dyDescent="0.2">
      <c r="A283" s="18"/>
      <c r="B283" s="18"/>
      <c r="C283" s="18"/>
      <c r="D283" s="18" t="s">
        <v>733</v>
      </c>
      <c r="E283" s="19" t="s">
        <v>734</v>
      </c>
      <c r="F283" s="9">
        <f>Source!AT154</f>
        <v>70</v>
      </c>
      <c r="G283" s="21"/>
      <c r="H283" s="20"/>
      <c r="I283" s="9"/>
      <c r="J283" s="9"/>
      <c r="K283" s="21">
        <f>SUM(R280:R282)</f>
        <v>2074.7600000000002</v>
      </c>
      <c r="L283" s="21"/>
    </row>
    <row r="284" spans="1:22" ht="14.25" x14ac:dyDescent="0.2">
      <c r="A284" s="18"/>
      <c r="B284" s="18"/>
      <c r="C284" s="18"/>
      <c r="D284" s="18" t="s">
        <v>735</v>
      </c>
      <c r="E284" s="19" t="s">
        <v>734</v>
      </c>
      <c r="F284" s="9">
        <f>Source!AU154</f>
        <v>10</v>
      </c>
      <c r="G284" s="21"/>
      <c r="H284" s="20"/>
      <c r="I284" s="9"/>
      <c r="J284" s="9"/>
      <c r="K284" s="21">
        <f>SUM(T280:T283)</f>
        <v>296.39</v>
      </c>
      <c r="L284" s="21"/>
    </row>
    <row r="285" spans="1:22" ht="14.25" x14ac:dyDescent="0.2">
      <c r="A285" s="18"/>
      <c r="B285" s="18"/>
      <c r="C285" s="18"/>
      <c r="D285" s="18" t="s">
        <v>736</v>
      </c>
      <c r="E285" s="19" t="s">
        <v>737</v>
      </c>
      <c r="F285" s="9">
        <f>Source!AQ154</f>
        <v>0.8</v>
      </c>
      <c r="G285" s="21"/>
      <c r="H285" s="20" t="str">
        <f>Source!DI154</f>
        <v>)*2</v>
      </c>
      <c r="I285" s="9">
        <f>Source!AV154</f>
        <v>1</v>
      </c>
      <c r="J285" s="9"/>
      <c r="K285" s="21"/>
      <c r="L285" s="21">
        <f>Source!U154</f>
        <v>4.8000000000000007</v>
      </c>
    </row>
    <row r="286" spans="1:22" ht="15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51">
        <f>K282+K283+K284</f>
        <v>5335.0900000000011</v>
      </c>
      <c r="K286" s="51"/>
      <c r="L286" s="24">
        <f>IF(Source!I154&lt;&gt;0, ROUND(J286/Source!I154, 2), 0)</f>
        <v>1778.36</v>
      </c>
      <c r="P286" s="22">
        <f>J286</f>
        <v>5335.0900000000011</v>
      </c>
    </row>
    <row r="287" spans="1:22" ht="85.5" x14ac:dyDescent="0.2">
      <c r="A287" s="18">
        <v>31</v>
      </c>
      <c r="B287" s="18">
        <v>31</v>
      </c>
      <c r="C287" s="18" t="str">
        <f>Source!F155</f>
        <v>1.15-2203-8-2/1</v>
      </c>
      <c r="D287" s="18" t="str">
        <f>Source!G155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87" s="19" t="str">
        <f>Source!H155</f>
        <v>шт.</v>
      </c>
      <c r="F287" s="9">
        <f>Source!I155</f>
        <v>6</v>
      </c>
      <c r="G287" s="21"/>
      <c r="H287" s="20"/>
      <c r="I287" s="9"/>
      <c r="J287" s="9"/>
      <c r="K287" s="21"/>
      <c r="L287" s="21"/>
      <c r="Q287">
        <f>ROUND((Source!BZ155/100)*ROUND((Source!AF155*Source!AV155)*Source!I155, 2), 2)</f>
        <v>566.66</v>
      </c>
      <c r="R287">
        <f>Source!X155</f>
        <v>566.66</v>
      </c>
      <c r="S287">
        <f>ROUND((Source!CA155/100)*ROUND((Source!AF155*Source!AV155)*Source!I155, 2), 2)</f>
        <v>80.95</v>
      </c>
      <c r="T287">
        <f>Source!Y155</f>
        <v>80.95</v>
      </c>
      <c r="U287">
        <f>ROUND((175/100)*ROUND((Source!AE155*Source!AV155)*Source!I155, 2), 2)</f>
        <v>0</v>
      </c>
      <c r="V287">
        <f>ROUND((108/100)*ROUND(Source!CS155*Source!I155, 2), 2)</f>
        <v>0</v>
      </c>
    </row>
    <row r="288" spans="1:22" ht="14.25" x14ac:dyDescent="0.2">
      <c r="A288" s="18"/>
      <c r="B288" s="18"/>
      <c r="C288" s="18"/>
      <c r="D288" s="18" t="s">
        <v>731</v>
      </c>
      <c r="E288" s="19"/>
      <c r="F288" s="9"/>
      <c r="G288" s="21">
        <f>Source!AO155</f>
        <v>134.91999999999999</v>
      </c>
      <c r="H288" s="20" t="str">
        <f>Source!DG155</f>
        <v/>
      </c>
      <c r="I288" s="9">
        <f>Source!AV155</f>
        <v>1</v>
      </c>
      <c r="J288" s="9">
        <f>IF(Source!BA155&lt;&gt; 0, Source!BA155, 1)</f>
        <v>1</v>
      </c>
      <c r="K288" s="21">
        <f>Source!S155</f>
        <v>809.52</v>
      </c>
      <c r="L288" s="21"/>
    </row>
    <row r="289" spans="1:22" ht="14.25" x14ac:dyDescent="0.2">
      <c r="A289" s="18"/>
      <c r="B289" s="18"/>
      <c r="C289" s="18"/>
      <c r="D289" s="18" t="s">
        <v>732</v>
      </c>
      <c r="E289" s="19"/>
      <c r="F289" s="9"/>
      <c r="G289" s="21">
        <f>Source!AL155</f>
        <v>0.63</v>
      </c>
      <c r="H289" s="20" t="str">
        <f>Source!DD155</f>
        <v/>
      </c>
      <c r="I289" s="9">
        <f>Source!AW155</f>
        <v>1</v>
      </c>
      <c r="J289" s="9">
        <f>IF(Source!BC155&lt;&gt; 0, Source!BC155, 1)</f>
        <v>1</v>
      </c>
      <c r="K289" s="21">
        <f>Source!P155</f>
        <v>3.78</v>
      </c>
      <c r="L289" s="21"/>
    </row>
    <row r="290" spans="1:22" ht="14.25" x14ac:dyDescent="0.2">
      <c r="A290" s="18"/>
      <c r="B290" s="18"/>
      <c r="C290" s="18"/>
      <c r="D290" s="18" t="s">
        <v>733</v>
      </c>
      <c r="E290" s="19" t="s">
        <v>734</v>
      </c>
      <c r="F290" s="9">
        <f>Source!AT155</f>
        <v>70</v>
      </c>
      <c r="G290" s="21"/>
      <c r="H290" s="20"/>
      <c r="I290" s="9"/>
      <c r="J290" s="9"/>
      <c r="K290" s="21">
        <f>SUM(R287:R289)</f>
        <v>566.66</v>
      </c>
      <c r="L290" s="21"/>
    </row>
    <row r="291" spans="1:22" ht="14.25" x14ac:dyDescent="0.2">
      <c r="A291" s="18"/>
      <c r="B291" s="18"/>
      <c r="C291" s="18"/>
      <c r="D291" s="18" t="s">
        <v>735</v>
      </c>
      <c r="E291" s="19" t="s">
        <v>734</v>
      </c>
      <c r="F291" s="9">
        <f>Source!AU155</f>
        <v>10</v>
      </c>
      <c r="G291" s="21"/>
      <c r="H291" s="20"/>
      <c r="I291" s="9"/>
      <c r="J291" s="9"/>
      <c r="K291" s="21">
        <f>SUM(T287:T290)</f>
        <v>80.95</v>
      </c>
      <c r="L291" s="21"/>
    </row>
    <row r="292" spans="1:22" ht="14.25" x14ac:dyDescent="0.2">
      <c r="A292" s="18"/>
      <c r="B292" s="18"/>
      <c r="C292" s="18"/>
      <c r="D292" s="18" t="s">
        <v>736</v>
      </c>
      <c r="E292" s="19" t="s">
        <v>737</v>
      </c>
      <c r="F292" s="9">
        <f>Source!AQ155</f>
        <v>0.24</v>
      </c>
      <c r="G292" s="21"/>
      <c r="H292" s="20" t="str">
        <f>Source!DI155</f>
        <v/>
      </c>
      <c r="I292" s="9">
        <f>Source!AV155</f>
        <v>1</v>
      </c>
      <c r="J292" s="9"/>
      <c r="K292" s="21"/>
      <c r="L292" s="21">
        <f>Source!U155</f>
        <v>1.44</v>
      </c>
    </row>
    <row r="293" spans="1:22" ht="15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51">
        <f>K288+K289+K290+K291</f>
        <v>1460.91</v>
      </c>
      <c r="K293" s="51"/>
      <c r="L293" s="24">
        <f>IF(Source!I155&lt;&gt;0, ROUND(J293/Source!I155, 2), 0)</f>
        <v>243.49</v>
      </c>
      <c r="P293" s="22">
        <f>J293</f>
        <v>1460.91</v>
      </c>
    </row>
    <row r="294" spans="1:22" ht="57" x14ac:dyDescent="0.2">
      <c r="A294" s="18">
        <v>32</v>
      </c>
      <c r="B294" s="18">
        <v>32</v>
      </c>
      <c r="C294" s="18" t="str">
        <f>Source!F157</f>
        <v>1.24-2503-4-18/1</v>
      </c>
      <c r="D294" s="18" t="str">
        <f>Source!G157</f>
        <v>Техническое обслуживание циркуляционных насосов систем отопления с тепловыми насосами - ежемесячное</v>
      </c>
      <c r="E294" s="19" t="str">
        <f>Source!H157</f>
        <v>шт.</v>
      </c>
      <c r="F294" s="9">
        <f>Source!I157</f>
        <v>2</v>
      </c>
      <c r="G294" s="21"/>
      <c r="H294" s="20"/>
      <c r="I294" s="9"/>
      <c r="J294" s="9"/>
      <c r="K294" s="21"/>
      <c r="L294" s="21"/>
      <c r="Q294">
        <f>ROUND((Source!BZ157/100)*ROUND((Source!AF157*Source!AV157)*Source!I157, 2), 2)</f>
        <v>1649.26</v>
      </c>
      <c r="R294">
        <f>Source!X157</f>
        <v>1649.26</v>
      </c>
      <c r="S294">
        <f>ROUND((Source!CA157/100)*ROUND((Source!AF157*Source!AV157)*Source!I157, 2), 2)</f>
        <v>235.61</v>
      </c>
      <c r="T294">
        <f>Source!Y157</f>
        <v>235.61</v>
      </c>
      <c r="U294">
        <f>ROUND((175/100)*ROUND((Source!AE157*Source!AV157)*Source!I157, 2), 2)</f>
        <v>1735.02</v>
      </c>
      <c r="V294">
        <f>ROUND((108/100)*ROUND(Source!CS157*Source!I157, 2), 2)</f>
        <v>1070.76</v>
      </c>
    </row>
    <row r="295" spans="1:22" ht="14.25" x14ac:dyDescent="0.2">
      <c r="A295" s="18"/>
      <c r="B295" s="18"/>
      <c r="C295" s="18"/>
      <c r="D295" s="18" t="s">
        <v>731</v>
      </c>
      <c r="E295" s="19"/>
      <c r="F295" s="9"/>
      <c r="G295" s="21">
        <f>Source!AO157</f>
        <v>294.51</v>
      </c>
      <c r="H295" s="20" t="str">
        <f>Source!DG157</f>
        <v>)*4</v>
      </c>
      <c r="I295" s="9">
        <f>Source!AV157</f>
        <v>1</v>
      </c>
      <c r="J295" s="9">
        <f>IF(Source!BA157&lt;&gt; 0, Source!BA157, 1)</f>
        <v>1</v>
      </c>
      <c r="K295" s="21">
        <f>Source!S157</f>
        <v>2356.08</v>
      </c>
      <c r="L295" s="21"/>
    </row>
    <row r="296" spans="1:22" ht="14.25" x14ac:dyDescent="0.2">
      <c r="A296" s="18"/>
      <c r="B296" s="18"/>
      <c r="C296" s="18"/>
      <c r="D296" s="18" t="s">
        <v>738</v>
      </c>
      <c r="E296" s="19"/>
      <c r="F296" s="9"/>
      <c r="G296" s="21">
        <f>Source!AM157</f>
        <v>195.45</v>
      </c>
      <c r="H296" s="20" t="str">
        <f>Source!DE157</f>
        <v>)*4</v>
      </c>
      <c r="I296" s="9">
        <f>Source!AV157</f>
        <v>1</v>
      </c>
      <c r="J296" s="9">
        <f>IF(Source!BB157&lt;&gt; 0, Source!BB157, 1)</f>
        <v>1</v>
      </c>
      <c r="K296" s="21">
        <f>Source!Q157</f>
        <v>1563.6</v>
      </c>
      <c r="L296" s="21"/>
    </row>
    <row r="297" spans="1:22" ht="14.25" x14ac:dyDescent="0.2">
      <c r="A297" s="18"/>
      <c r="B297" s="18"/>
      <c r="C297" s="18"/>
      <c r="D297" s="18" t="s">
        <v>739</v>
      </c>
      <c r="E297" s="19"/>
      <c r="F297" s="9"/>
      <c r="G297" s="21">
        <f>Source!AN157</f>
        <v>123.93</v>
      </c>
      <c r="H297" s="20" t="str">
        <f>Source!DF157</f>
        <v>)*4</v>
      </c>
      <c r="I297" s="9">
        <f>Source!AV157</f>
        <v>1</v>
      </c>
      <c r="J297" s="9">
        <f>IF(Source!BS157&lt;&gt; 0, Source!BS157, 1)</f>
        <v>1</v>
      </c>
      <c r="K297" s="27">
        <f>Source!R157</f>
        <v>991.44</v>
      </c>
      <c r="L297" s="21"/>
    </row>
    <row r="298" spans="1:22" ht="14.25" x14ac:dyDescent="0.2">
      <c r="A298" s="18"/>
      <c r="B298" s="18"/>
      <c r="C298" s="18"/>
      <c r="D298" s="18" t="s">
        <v>732</v>
      </c>
      <c r="E298" s="19"/>
      <c r="F298" s="9"/>
      <c r="G298" s="21">
        <f>Source!AL157</f>
        <v>0.63</v>
      </c>
      <c r="H298" s="20" t="str">
        <f>Source!DD157</f>
        <v>)*4</v>
      </c>
      <c r="I298" s="9">
        <f>Source!AW157</f>
        <v>1</v>
      </c>
      <c r="J298" s="9">
        <f>IF(Source!BC157&lt;&gt; 0, Source!BC157, 1)</f>
        <v>1</v>
      </c>
      <c r="K298" s="21">
        <f>Source!P157</f>
        <v>5.04</v>
      </c>
      <c r="L298" s="21"/>
    </row>
    <row r="299" spans="1:22" ht="14.25" x14ac:dyDescent="0.2">
      <c r="A299" s="18"/>
      <c r="B299" s="18"/>
      <c r="C299" s="18"/>
      <c r="D299" s="18" t="s">
        <v>733</v>
      </c>
      <c r="E299" s="19" t="s">
        <v>734</v>
      </c>
      <c r="F299" s="9">
        <f>Source!AT157</f>
        <v>70</v>
      </c>
      <c r="G299" s="21"/>
      <c r="H299" s="20"/>
      <c r="I299" s="9"/>
      <c r="J299" s="9"/>
      <c r="K299" s="21">
        <f>SUM(R294:R298)</f>
        <v>1649.26</v>
      </c>
      <c r="L299" s="21"/>
    </row>
    <row r="300" spans="1:22" ht="14.25" x14ac:dyDescent="0.2">
      <c r="A300" s="18"/>
      <c r="B300" s="18"/>
      <c r="C300" s="18"/>
      <c r="D300" s="18" t="s">
        <v>735</v>
      </c>
      <c r="E300" s="19" t="s">
        <v>734</v>
      </c>
      <c r="F300" s="9">
        <f>Source!AU157</f>
        <v>10</v>
      </c>
      <c r="G300" s="21"/>
      <c r="H300" s="20"/>
      <c r="I300" s="9"/>
      <c r="J300" s="9"/>
      <c r="K300" s="21">
        <f>SUM(T294:T299)</f>
        <v>235.61</v>
      </c>
      <c r="L300" s="21"/>
    </row>
    <row r="301" spans="1:22" ht="14.25" x14ac:dyDescent="0.2">
      <c r="A301" s="18"/>
      <c r="B301" s="18"/>
      <c r="C301" s="18"/>
      <c r="D301" s="18" t="s">
        <v>740</v>
      </c>
      <c r="E301" s="19" t="s">
        <v>734</v>
      </c>
      <c r="F301" s="9">
        <f>108</f>
        <v>108</v>
      </c>
      <c r="G301" s="21"/>
      <c r="H301" s="20"/>
      <c r="I301" s="9"/>
      <c r="J301" s="9"/>
      <c r="K301" s="21">
        <f>SUM(V294:V300)</f>
        <v>1070.76</v>
      </c>
      <c r="L301" s="21"/>
    </row>
    <row r="302" spans="1:22" ht="14.25" x14ac:dyDescent="0.2">
      <c r="A302" s="18"/>
      <c r="B302" s="18"/>
      <c r="C302" s="18"/>
      <c r="D302" s="18" t="s">
        <v>736</v>
      </c>
      <c r="E302" s="19" t="s">
        <v>737</v>
      </c>
      <c r="F302" s="9">
        <f>Source!AQ157</f>
        <v>0.42</v>
      </c>
      <c r="G302" s="21"/>
      <c r="H302" s="20" t="str">
        <f>Source!DI157</f>
        <v>)*4</v>
      </c>
      <c r="I302" s="9">
        <f>Source!AV157</f>
        <v>1</v>
      </c>
      <c r="J302" s="9"/>
      <c r="K302" s="21"/>
      <c r="L302" s="21">
        <f>Source!U157</f>
        <v>3.36</v>
      </c>
    </row>
    <row r="303" spans="1:22" ht="15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51">
        <f>K295+K296+K298+K299+K300+K301</f>
        <v>6880.3499999999995</v>
      </c>
      <c r="K303" s="51"/>
      <c r="L303" s="24">
        <f>IF(Source!I157&lt;&gt;0, ROUND(J303/Source!I157, 2), 0)</f>
        <v>3440.18</v>
      </c>
      <c r="P303" s="22">
        <f>J303</f>
        <v>6880.3499999999995</v>
      </c>
    </row>
    <row r="304" spans="1:22" ht="28.5" x14ac:dyDescent="0.2">
      <c r="A304" s="18">
        <v>33</v>
      </c>
      <c r="B304" s="18">
        <v>33</v>
      </c>
      <c r="C304" s="18" t="str">
        <f>Source!F158</f>
        <v>1.23-2303-7-2/1</v>
      </c>
      <c r="D304" s="18" t="str">
        <f>Source!G158</f>
        <v>Техническое обслуживание реле давления, напора, тяги</v>
      </c>
      <c r="E304" s="19" t="str">
        <f>Source!H158</f>
        <v>шт.</v>
      </c>
      <c r="F304" s="9">
        <f>Source!I158</f>
        <v>1</v>
      </c>
      <c r="G304" s="21"/>
      <c r="H304" s="20"/>
      <c r="I304" s="9"/>
      <c r="J304" s="9"/>
      <c r="K304" s="21"/>
      <c r="L304" s="21"/>
      <c r="Q304">
        <f>ROUND((Source!BZ158/100)*ROUND((Source!AF158*Source!AV158)*Source!I158, 2), 2)</f>
        <v>377.54</v>
      </c>
      <c r="R304">
        <f>Source!X158</f>
        <v>377.54</v>
      </c>
      <c r="S304">
        <f>ROUND((Source!CA158/100)*ROUND((Source!AF158*Source!AV158)*Source!I158, 2), 2)</f>
        <v>53.93</v>
      </c>
      <c r="T304">
        <f>Source!Y158</f>
        <v>53.93</v>
      </c>
      <c r="U304">
        <f>ROUND((175/100)*ROUND((Source!AE158*Source!AV158)*Source!I158, 2), 2)</f>
        <v>0</v>
      </c>
      <c r="V304">
        <f>ROUND((108/100)*ROUND(Source!CS158*Source!I158, 2), 2)</f>
        <v>0</v>
      </c>
    </row>
    <row r="305" spans="1:22" ht="14.25" x14ac:dyDescent="0.2">
      <c r="A305" s="18"/>
      <c r="B305" s="18"/>
      <c r="C305" s="18"/>
      <c r="D305" s="18" t="s">
        <v>731</v>
      </c>
      <c r="E305" s="19"/>
      <c r="F305" s="9"/>
      <c r="G305" s="21">
        <f>Source!AO158</f>
        <v>269.67</v>
      </c>
      <c r="H305" s="20" t="str">
        <f>Source!DG158</f>
        <v>)*2</v>
      </c>
      <c r="I305" s="9">
        <f>Source!AV158</f>
        <v>1</v>
      </c>
      <c r="J305" s="9">
        <f>IF(Source!BA158&lt;&gt; 0, Source!BA158, 1)</f>
        <v>1</v>
      </c>
      <c r="K305" s="21">
        <f>Source!S158</f>
        <v>539.34</v>
      </c>
      <c r="L305" s="21"/>
    </row>
    <row r="306" spans="1:22" ht="14.25" x14ac:dyDescent="0.2">
      <c r="A306" s="18"/>
      <c r="B306" s="18"/>
      <c r="C306" s="18"/>
      <c r="D306" s="18" t="s">
        <v>732</v>
      </c>
      <c r="E306" s="19"/>
      <c r="F306" s="9"/>
      <c r="G306" s="21">
        <f>Source!AL158</f>
        <v>19.14</v>
      </c>
      <c r="H306" s="20" t="str">
        <f>Source!DD158</f>
        <v>)*2</v>
      </c>
      <c r="I306" s="9">
        <f>Source!AW158</f>
        <v>1</v>
      </c>
      <c r="J306" s="9">
        <f>IF(Source!BC158&lt;&gt; 0, Source!BC158, 1)</f>
        <v>1</v>
      </c>
      <c r="K306" s="21">
        <f>Source!P158</f>
        <v>38.28</v>
      </c>
      <c r="L306" s="21"/>
    </row>
    <row r="307" spans="1:22" ht="14.25" x14ac:dyDescent="0.2">
      <c r="A307" s="18"/>
      <c r="B307" s="18"/>
      <c r="C307" s="18"/>
      <c r="D307" s="18" t="s">
        <v>733</v>
      </c>
      <c r="E307" s="19" t="s">
        <v>734</v>
      </c>
      <c r="F307" s="9">
        <f>Source!AT158</f>
        <v>70</v>
      </c>
      <c r="G307" s="21"/>
      <c r="H307" s="20"/>
      <c r="I307" s="9"/>
      <c r="J307" s="9"/>
      <c r="K307" s="21">
        <f>SUM(R304:R306)</f>
        <v>377.54</v>
      </c>
      <c r="L307" s="21"/>
    </row>
    <row r="308" spans="1:22" ht="14.25" x14ac:dyDescent="0.2">
      <c r="A308" s="18"/>
      <c r="B308" s="18"/>
      <c r="C308" s="18"/>
      <c r="D308" s="18" t="s">
        <v>735</v>
      </c>
      <c r="E308" s="19" t="s">
        <v>734</v>
      </c>
      <c r="F308" s="9">
        <f>Source!AU158</f>
        <v>10</v>
      </c>
      <c r="G308" s="21"/>
      <c r="H308" s="20"/>
      <c r="I308" s="9"/>
      <c r="J308" s="9"/>
      <c r="K308" s="21">
        <f>SUM(T304:T307)</f>
        <v>53.93</v>
      </c>
      <c r="L308" s="21"/>
    </row>
    <row r="309" spans="1:22" ht="14.25" x14ac:dyDescent="0.2">
      <c r="A309" s="18"/>
      <c r="B309" s="18"/>
      <c r="C309" s="18"/>
      <c r="D309" s="18" t="s">
        <v>736</v>
      </c>
      <c r="E309" s="19" t="s">
        <v>737</v>
      </c>
      <c r="F309" s="9">
        <f>Source!AQ158</f>
        <v>0.38</v>
      </c>
      <c r="G309" s="21"/>
      <c r="H309" s="20" t="str">
        <f>Source!DI158</f>
        <v>)*2</v>
      </c>
      <c r="I309" s="9">
        <f>Source!AV158</f>
        <v>1</v>
      </c>
      <c r="J309" s="9"/>
      <c r="K309" s="21"/>
      <c r="L309" s="21">
        <f>Source!U158</f>
        <v>0.76</v>
      </c>
    </row>
    <row r="310" spans="1:22" ht="15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51">
        <f>K305+K306+K307+K308</f>
        <v>1009.09</v>
      </c>
      <c r="K310" s="51"/>
      <c r="L310" s="24">
        <f>IF(Source!I158&lt;&gt;0, ROUND(J310/Source!I158, 2), 0)</f>
        <v>1009.09</v>
      </c>
      <c r="P310" s="22">
        <f>J310</f>
        <v>1009.09</v>
      </c>
    </row>
    <row r="311" spans="1:22" ht="42.75" x14ac:dyDescent="0.2">
      <c r="A311" s="18">
        <v>34</v>
      </c>
      <c r="B311" s="18">
        <v>34</v>
      </c>
      <c r="C311" s="18" t="str">
        <f>Source!F159</f>
        <v>1.15-2203-7-1/1</v>
      </c>
      <c r="D311" s="18" t="str">
        <f>Source!G159</f>
        <v>Техническое обслуживание крана шарового латунного никелированного диаметром до 25 мм</v>
      </c>
      <c r="E311" s="19" t="str">
        <f>Source!H159</f>
        <v>10 шт.</v>
      </c>
      <c r="F311" s="9">
        <f>Source!I159</f>
        <v>0.2</v>
      </c>
      <c r="G311" s="21"/>
      <c r="H311" s="20"/>
      <c r="I311" s="9"/>
      <c r="J311" s="9"/>
      <c r="K311" s="21"/>
      <c r="L311" s="21"/>
      <c r="Q311">
        <f>ROUND((Source!BZ159/100)*ROUND((Source!AF159*Source!AV159)*Source!I159, 2), 2)</f>
        <v>38.9</v>
      </c>
      <c r="R311">
        <f>Source!X159</f>
        <v>38.9</v>
      </c>
      <c r="S311">
        <f>ROUND((Source!CA159/100)*ROUND((Source!AF159*Source!AV159)*Source!I159, 2), 2)</f>
        <v>5.56</v>
      </c>
      <c r="T311">
        <f>Source!Y159</f>
        <v>5.56</v>
      </c>
      <c r="U311">
        <f>ROUND((175/100)*ROUND((Source!AE159*Source!AV159)*Source!I159, 2), 2)</f>
        <v>0</v>
      </c>
      <c r="V311">
        <f>ROUND((108/100)*ROUND(Source!CS159*Source!I159, 2), 2)</f>
        <v>0</v>
      </c>
    </row>
    <row r="312" spans="1:22" x14ac:dyDescent="0.2">
      <c r="D312" s="25" t="str">
        <f>"Объем: "&amp;Source!I159&amp;"=2/"&amp;"10"</f>
        <v>Объем: 0,2=2/10</v>
      </c>
    </row>
    <row r="313" spans="1:22" ht="14.25" x14ac:dyDescent="0.2">
      <c r="A313" s="18"/>
      <c r="B313" s="18"/>
      <c r="C313" s="18"/>
      <c r="D313" s="18" t="s">
        <v>731</v>
      </c>
      <c r="E313" s="19"/>
      <c r="F313" s="9"/>
      <c r="G313" s="21">
        <f>Source!AO159</f>
        <v>277.87</v>
      </c>
      <c r="H313" s="20" t="str">
        <f>Source!DG159</f>
        <v/>
      </c>
      <c r="I313" s="9">
        <f>Source!AV159</f>
        <v>1</v>
      </c>
      <c r="J313" s="9">
        <f>IF(Source!BA159&lt;&gt; 0, Source!BA159, 1)</f>
        <v>1</v>
      </c>
      <c r="K313" s="21">
        <f>Source!S159</f>
        <v>55.57</v>
      </c>
      <c r="L313" s="21"/>
    </row>
    <row r="314" spans="1:22" ht="14.25" x14ac:dyDescent="0.2">
      <c r="A314" s="18"/>
      <c r="B314" s="18"/>
      <c r="C314" s="18"/>
      <c r="D314" s="18" t="s">
        <v>733</v>
      </c>
      <c r="E314" s="19" t="s">
        <v>734</v>
      </c>
      <c r="F314" s="9">
        <f>Source!AT159</f>
        <v>70</v>
      </c>
      <c r="G314" s="21"/>
      <c r="H314" s="20"/>
      <c r="I314" s="9"/>
      <c r="J314" s="9"/>
      <c r="K314" s="21">
        <f>SUM(R311:R313)</f>
        <v>38.9</v>
      </c>
      <c r="L314" s="21"/>
    </row>
    <row r="315" spans="1:22" ht="14.25" x14ac:dyDescent="0.2">
      <c r="A315" s="18"/>
      <c r="B315" s="18"/>
      <c r="C315" s="18"/>
      <c r="D315" s="18" t="s">
        <v>735</v>
      </c>
      <c r="E315" s="19" t="s">
        <v>734</v>
      </c>
      <c r="F315" s="9">
        <f>Source!AU159</f>
        <v>10</v>
      </c>
      <c r="G315" s="21"/>
      <c r="H315" s="20"/>
      <c r="I315" s="9"/>
      <c r="J315" s="9"/>
      <c r="K315" s="21">
        <f>SUM(T311:T314)</f>
        <v>5.56</v>
      </c>
      <c r="L315" s="21"/>
    </row>
    <row r="316" spans="1:22" ht="14.25" x14ac:dyDescent="0.2">
      <c r="A316" s="18"/>
      <c r="B316" s="18"/>
      <c r="C316" s="18"/>
      <c r="D316" s="18" t="s">
        <v>736</v>
      </c>
      <c r="E316" s="19" t="s">
        <v>737</v>
      </c>
      <c r="F316" s="9">
        <f>Source!AQ159</f>
        <v>0.45</v>
      </c>
      <c r="G316" s="21"/>
      <c r="H316" s="20" t="str">
        <f>Source!DI159</f>
        <v/>
      </c>
      <c r="I316" s="9">
        <f>Source!AV159</f>
        <v>1</v>
      </c>
      <c r="J316" s="9"/>
      <c r="K316" s="21"/>
      <c r="L316" s="21">
        <f>Source!U159</f>
        <v>9.0000000000000011E-2</v>
      </c>
    </row>
    <row r="317" spans="1:22" ht="15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51">
        <f>K313+K314+K315</f>
        <v>100.03</v>
      </c>
      <c r="K317" s="51"/>
      <c r="L317" s="24">
        <f>IF(Source!I159&lt;&gt;0, ROUND(J317/Source!I159, 2), 0)</f>
        <v>500.15</v>
      </c>
      <c r="P317" s="22">
        <f>J317</f>
        <v>100.03</v>
      </c>
    </row>
    <row r="318" spans="1:22" ht="42.75" x14ac:dyDescent="0.2">
      <c r="A318" s="18">
        <v>35</v>
      </c>
      <c r="B318" s="18">
        <v>35</v>
      </c>
      <c r="C318" s="18" t="str">
        <f>Source!F160</f>
        <v>1.23-2103-18-1/1</v>
      </c>
      <c r="D318" s="18" t="str">
        <f>Source!G160</f>
        <v>Техническое обслуживание термометра биметаллического, дилатометрического</v>
      </c>
      <c r="E318" s="19" t="str">
        <f>Source!H160</f>
        <v>шт.</v>
      </c>
      <c r="F318" s="9">
        <f>Source!I160</f>
        <v>4</v>
      </c>
      <c r="G318" s="21"/>
      <c r="H318" s="20"/>
      <c r="I318" s="9"/>
      <c r="J318" s="9"/>
      <c r="K318" s="21"/>
      <c r="L318" s="21"/>
      <c r="Q318">
        <f>ROUND((Source!BZ160/100)*ROUND((Source!AF160*Source!AV160)*Source!I160, 2), 2)</f>
        <v>1231.94</v>
      </c>
      <c r="R318">
        <f>Source!X160</f>
        <v>1231.94</v>
      </c>
      <c r="S318">
        <f>ROUND((Source!CA160/100)*ROUND((Source!AF160*Source!AV160)*Source!I160, 2), 2)</f>
        <v>175.99</v>
      </c>
      <c r="T318">
        <f>Source!Y160</f>
        <v>175.99</v>
      </c>
      <c r="U318">
        <f>ROUND((175/100)*ROUND((Source!AE160*Source!AV160)*Source!I160, 2), 2)</f>
        <v>0</v>
      </c>
      <c r="V318">
        <f>ROUND((108/100)*ROUND(Source!CS160*Source!I160, 2), 2)</f>
        <v>0</v>
      </c>
    </row>
    <row r="319" spans="1:22" x14ac:dyDescent="0.2">
      <c r="D319" s="25" t="str">
        <f>"Объем: "&amp;Source!I160&amp;"=2+"&amp;"2"</f>
        <v>Объем: 4=2+2</v>
      </c>
    </row>
    <row r="320" spans="1:22" ht="14.25" x14ac:dyDescent="0.2">
      <c r="A320" s="18"/>
      <c r="B320" s="18"/>
      <c r="C320" s="18"/>
      <c r="D320" s="18" t="s">
        <v>731</v>
      </c>
      <c r="E320" s="19"/>
      <c r="F320" s="9"/>
      <c r="G320" s="21">
        <f>Source!AO160</f>
        <v>219.99</v>
      </c>
      <c r="H320" s="20" t="str">
        <f>Source!DG160</f>
        <v>)*2</v>
      </c>
      <c r="I320" s="9">
        <f>Source!AV160</f>
        <v>1</v>
      </c>
      <c r="J320" s="9">
        <f>IF(Source!BA160&lt;&gt; 0, Source!BA160, 1)</f>
        <v>1</v>
      </c>
      <c r="K320" s="21">
        <f>Source!S160</f>
        <v>1759.92</v>
      </c>
      <c r="L320" s="21"/>
    </row>
    <row r="321" spans="1:22" ht="14.25" x14ac:dyDescent="0.2">
      <c r="A321" s="18"/>
      <c r="B321" s="18"/>
      <c r="C321" s="18"/>
      <c r="D321" s="18" t="s">
        <v>732</v>
      </c>
      <c r="E321" s="19"/>
      <c r="F321" s="9"/>
      <c r="G321" s="21">
        <f>Source!AL160</f>
        <v>19.14</v>
      </c>
      <c r="H321" s="20" t="str">
        <f>Source!DD160</f>
        <v>)*2</v>
      </c>
      <c r="I321" s="9">
        <f>Source!AW160</f>
        <v>1</v>
      </c>
      <c r="J321" s="9">
        <f>IF(Source!BC160&lt;&gt; 0, Source!BC160, 1)</f>
        <v>1</v>
      </c>
      <c r="K321" s="21">
        <f>Source!P160</f>
        <v>153.12</v>
      </c>
      <c r="L321" s="21"/>
    </row>
    <row r="322" spans="1:22" ht="14.25" x14ac:dyDescent="0.2">
      <c r="A322" s="18"/>
      <c r="B322" s="18"/>
      <c r="C322" s="18"/>
      <c r="D322" s="18" t="s">
        <v>733</v>
      </c>
      <c r="E322" s="19" t="s">
        <v>734</v>
      </c>
      <c r="F322" s="9">
        <f>Source!AT160</f>
        <v>70</v>
      </c>
      <c r="G322" s="21"/>
      <c r="H322" s="20"/>
      <c r="I322" s="9"/>
      <c r="J322" s="9"/>
      <c r="K322" s="21">
        <f>SUM(R318:R321)</f>
        <v>1231.94</v>
      </c>
      <c r="L322" s="21"/>
    </row>
    <row r="323" spans="1:22" ht="14.25" x14ac:dyDescent="0.2">
      <c r="A323" s="18"/>
      <c r="B323" s="18"/>
      <c r="C323" s="18"/>
      <c r="D323" s="18" t="s">
        <v>735</v>
      </c>
      <c r="E323" s="19" t="s">
        <v>734</v>
      </c>
      <c r="F323" s="9">
        <f>Source!AU160</f>
        <v>10</v>
      </c>
      <c r="G323" s="21"/>
      <c r="H323" s="20"/>
      <c r="I323" s="9"/>
      <c r="J323" s="9"/>
      <c r="K323" s="21">
        <f>SUM(T318:T322)</f>
        <v>175.99</v>
      </c>
      <c r="L323" s="21"/>
    </row>
    <row r="324" spans="1:22" ht="14.25" x14ac:dyDescent="0.2">
      <c r="A324" s="18"/>
      <c r="B324" s="18"/>
      <c r="C324" s="18"/>
      <c r="D324" s="18" t="s">
        <v>736</v>
      </c>
      <c r="E324" s="19" t="s">
        <v>737</v>
      </c>
      <c r="F324" s="9">
        <f>Source!AQ160</f>
        <v>0.31</v>
      </c>
      <c r="G324" s="21"/>
      <c r="H324" s="20" t="str">
        <f>Source!DI160</f>
        <v>)*2</v>
      </c>
      <c r="I324" s="9">
        <f>Source!AV160</f>
        <v>1</v>
      </c>
      <c r="J324" s="9"/>
      <c r="K324" s="21"/>
      <c r="L324" s="21">
        <f>Source!U160</f>
        <v>2.48</v>
      </c>
    </row>
    <row r="325" spans="1:22" ht="15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51">
        <f>K320+K321+K322+K323</f>
        <v>3320.9700000000003</v>
      </c>
      <c r="K325" s="51"/>
      <c r="L325" s="24">
        <f>IF(Source!I160&lt;&gt;0, ROUND(J325/Source!I160, 2), 0)</f>
        <v>830.24</v>
      </c>
      <c r="P325" s="22">
        <f>J325</f>
        <v>3320.9700000000003</v>
      </c>
    </row>
    <row r="326" spans="1:22" ht="42.75" x14ac:dyDescent="0.2">
      <c r="A326" s="18">
        <v>36</v>
      </c>
      <c r="B326" s="18">
        <v>36</v>
      </c>
      <c r="C326" s="18" t="str">
        <f>Source!F161</f>
        <v>1.15-2303-5-3/1</v>
      </c>
      <c r="D326" s="18" t="str">
        <f>Source!G161</f>
        <v>Техническое обслуживание фильтров водяных фланцевых сетчатых диаметром до 150 мм</v>
      </c>
      <c r="E326" s="19" t="str">
        <f>Source!H161</f>
        <v>10 шт.</v>
      </c>
      <c r="F326" s="9">
        <f>Source!I161</f>
        <v>0.1</v>
      </c>
      <c r="G326" s="21"/>
      <c r="H326" s="20"/>
      <c r="I326" s="9"/>
      <c r="J326" s="9"/>
      <c r="K326" s="21"/>
      <c r="L326" s="21"/>
      <c r="Q326">
        <f>ROUND((Source!BZ161/100)*ROUND((Source!AF161*Source!AV161)*Source!I161, 2), 2)</f>
        <v>221.94</v>
      </c>
      <c r="R326">
        <f>Source!X161</f>
        <v>221.94</v>
      </c>
      <c r="S326">
        <f>ROUND((Source!CA161/100)*ROUND((Source!AF161*Source!AV161)*Source!I161, 2), 2)</f>
        <v>31.71</v>
      </c>
      <c r="T326">
        <f>Source!Y161</f>
        <v>31.71</v>
      </c>
      <c r="U326">
        <f>ROUND((175/100)*ROUND((Source!AE161*Source!AV161)*Source!I161, 2), 2)</f>
        <v>0</v>
      </c>
      <c r="V326">
        <f>ROUND((108/100)*ROUND(Source!CS161*Source!I161, 2), 2)</f>
        <v>0</v>
      </c>
    </row>
    <row r="327" spans="1:22" x14ac:dyDescent="0.2">
      <c r="D327" s="25" t="str">
        <f>"Объем: "&amp;Source!I161&amp;"=1/"&amp;"10"</f>
        <v>Объем: 0,1=1/10</v>
      </c>
    </row>
    <row r="328" spans="1:22" ht="14.25" x14ac:dyDescent="0.2">
      <c r="A328" s="18"/>
      <c r="B328" s="18"/>
      <c r="C328" s="18"/>
      <c r="D328" s="18" t="s">
        <v>731</v>
      </c>
      <c r="E328" s="19"/>
      <c r="F328" s="9"/>
      <c r="G328" s="21">
        <f>Source!AO161</f>
        <v>3170.64</v>
      </c>
      <c r="H328" s="20" t="str">
        <f>Source!DG161</f>
        <v/>
      </c>
      <c r="I328" s="9">
        <f>Source!AV161</f>
        <v>1</v>
      </c>
      <c r="J328" s="9">
        <f>IF(Source!BA161&lt;&gt; 0, Source!BA161, 1)</f>
        <v>1</v>
      </c>
      <c r="K328" s="21">
        <f>Source!S161</f>
        <v>317.06</v>
      </c>
      <c r="L328" s="21"/>
    </row>
    <row r="329" spans="1:22" ht="14.25" x14ac:dyDescent="0.2">
      <c r="A329" s="18"/>
      <c r="B329" s="18"/>
      <c r="C329" s="18"/>
      <c r="D329" s="18" t="s">
        <v>732</v>
      </c>
      <c r="E329" s="19"/>
      <c r="F329" s="9"/>
      <c r="G329" s="21">
        <f>Source!AL161</f>
        <v>1.57</v>
      </c>
      <c r="H329" s="20" t="str">
        <f>Source!DD161</f>
        <v/>
      </c>
      <c r="I329" s="9">
        <f>Source!AW161</f>
        <v>1</v>
      </c>
      <c r="J329" s="9">
        <f>IF(Source!BC161&lt;&gt; 0, Source!BC161, 1)</f>
        <v>1</v>
      </c>
      <c r="K329" s="21">
        <f>Source!P161</f>
        <v>0.16</v>
      </c>
      <c r="L329" s="21"/>
    </row>
    <row r="330" spans="1:22" ht="57" x14ac:dyDescent="0.2">
      <c r="A330" s="18" t="s">
        <v>231</v>
      </c>
      <c r="B330" s="18" t="s">
        <v>231</v>
      </c>
      <c r="C330" s="18" t="str">
        <f>Source!F162</f>
        <v>21.26-1-112</v>
      </c>
      <c r="D330" s="18" t="str">
        <f>Source!G162</f>
        <v>Прокладки из терморасширенного графита для обслуживания фильтра сетчатого чугунного фланцевого диаметром 100 мм</v>
      </c>
      <c r="E330" s="19" t="str">
        <f>Source!H162</f>
        <v>шт.</v>
      </c>
      <c r="F330" s="9">
        <f>Source!I162</f>
        <v>4</v>
      </c>
      <c r="G330" s="21">
        <f>Source!AK162</f>
        <v>388.06</v>
      </c>
      <c r="H330" s="28" t="s">
        <v>3</v>
      </c>
      <c r="I330" s="9">
        <f>Source!AW162</f>
        <v>1</v>
      </c>
      <c r="J330" s="9">
        <f>IF(Source!BC162&lt;&gt; 0, Source!BC162, 1)</f>
        <v>1</v>
      </c>
      <c r="K330" s="21">
        <f>Source!O162</f>
        <v>1552.24</v>
      </c>
      <c r="L330" s="21"/>
      <c r="Q330">
        <f>ROUND((Source!BZ162/100)*ROUND((Source!AF162*Source!AV162)*Source!I162, 2), 2)</f>
        <v>0</v>
      </c>
      <c r="R330">
        <f>Source!X162</f>
        <v>0</v>
      </c>
      <c r="S330">
        <f>ROUND((Source!CA162/100)*ROUND((Source!AF162*Source!AV162)*Source!I162, 2), 2)</f>
        <v>0</v>
      </c>
      <c r="T330">
        <f>Source!Y162</f>
        <v>0</v>
      </c>
      <c r="U330">
        <f>ROUND((175/100)*ROUND((Source!AE162*Source!AV162)*Source!I162, 2), 2)</f>
        <v>0</v>
      </c>
      <c r="V330">
        <f>ROUND((108/100)*ROUND(Source!CS162*Source!I162, 2), 2)</f>
        <v>0</v>
      </c>
    </row>
    <row r="331" spans="1:22" ht="14.25" x14ac:dyDescent="0.2">
      <c r="A331" s="18"/>
      <c r="B331" s="18"/>
      <c r="C331" s="18"/>
      <c r="D331" s="18" t="s">
        <v>733</v>
      </c>
      <c r="E331" s="19" t="s">
        <v>734</v>
      </c>
      <c r="F331" s="9">
        <f>Source!AT161</f>
        <v>70</v>
      </c>
      <c r="G331" s="21"/>
      <c r="H331" s="20"/>
      <c r="I331" s="9"/>
      <c r="J331" s="9"/>
      <c r="K331" s="21">
        <f>SUM(R326:R330)</f>
        <v>221.94</v>
      </c>
      <c r="L331" s="21"/>
    </row>
    <row r="332" spans="1:22" ht="14.25" x14ac:dyDescent="0.2">
      <c r="A332" s="18"/>
      <c r="B332" s="18"/>
      <c r="C332" s="18"/>
      <c r="D332" s="18" t="s">
        <v>735</v>
      </c>
      <c r="E332" s="19" t="s">
        <v>734</v>
      </c>
      <c r="F332" s="9">
        <f>Source!AU161</f>
        <v>10</v>
      </c>
      <c r="G332" s="21"/>
      <c r="H332" s="20"/>
      <c r="I332" s="9"/>
      <c r="J332" s="9"/>
      <c r="K332" s="21">
        <f>SUM(T326:T331)</f>
        <v>31.71</v>
      </c>
      <c r="L332" s="21"/>
    </row>
    <row r="333" spans="1:22" ht="14.25" x14ac:dyDescent="0.2">
      <c r="A333" s="18"/>
      <c r="B333" s="18"/>
      <c r="C333" s="18"/>
      <c r="D333" s="18" t="s">
        <v>736</v>
      </c>
      <c r="E333" s="19" t="s">
        <v>737</v>
      </c>
      <c r="F333" s="9">
        <f>Source!AQ161</f>
        <v>5.64</v>
      </c>
      <c r="G333" s="21"/>
      <c r="H333" s="20" t="str">
        <f>Source!DI161</f>
        <v/>
      </c>
      <c r="I333" s="9">
        <f>Source!AV161</f>
        <v>1</v>
      </c>
      <c r="J333" s="9"/>
      <c r="K333" s="21"/>
      <c r="L333" s="21">
        <f>Source!U161</f>
        <v>0.56399999999999995</v>
      </c>
    </row>
    <row r="334" spans="1:22" ht="15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51">
        <f>K328+K329+K331+K332+SUM(K330:K330)</f>
        <v>2123.11</v>
      </c>
      <c r="K334" s="51"/>
      <c r="L334" s="24">
        <f>IF(Source!I161&lt;&gt;0, ROUND(J334/Source!I161, 2), 0)</f>
        <v>21231.1</v>
      </c>
      <c r="P334" s="22">
        <f>J334</f>
        <v>2123.11</v>
      </c>
    </row>
    <row r="335" spans="1:22" ht="42.75" x14ac:dyDescent="0.2">
      <c r="A335" s="18">
        <v>37</v>
      </c>
      <c r="B335" s="18">
        <v>37</v>
      </c>
      <c r="C335" s="18" t="str">
        <f>Source!F163</f>
        <v>1.15-2203-7-3/1</v>
      </c>
      <c r="D335" s="18" t="str">
        <f>Source!G163</f>
        <v>Техническое обслуживание крана шарового латунного никелированного диаметром до 100 мм</v>
      </c>
      <c r="E335" s="19" t="str">
        <f>Source!H163</f>
        <v>10 шт.</v>
      </c>
      <c r="F335" s="9">
        <f>Source!I163</f>
        <v>0.2</v>
      </c>
      <c r="G335" s="21"/>
      <c r="H335" s="20"/>
      <c r="I335" s="9"/>
      <c r="J335" s="9"/>
      <c r="K335" s="21"/>
      <c r="L335" s="21"/>
      <c r="Q335">
        <f>ROUND((Source!BZ163/100)*ROUND((Source!AF163*Source!AV163)*Source!I163, 2), 2)</f>
        <v>79.53</v>
      </c>
      <c r="R335">
        <f>Source!X163</f>
        <v>79.53</v>
      </c>
      <c r="S335">
        <f>ROUND((Source!CA163/100)*ROUND((Source!AF163*Source!AV163)*Source!I163, 2), 2)</f>
        <v>11.36</v>
      </c>
      <c r="T335">
        <f>Source!Y163</f>
        <v>11.36</v>
      </c>
      <c r="U335">
        <f>ROUND((175/100)*ROUND((Source!AE163*Source!AV163)*Source!I163, 2), 2)</f>
        <v>0</v>
      </c>
      <c r="V335">
        <f>ROUND((108/100)*ROUND(Source!CS163*Source!I163, 2), 2)</f>
        <v>0</v>
      </c>
    </row>
    <row r="336" spans="1:22" x14ac:dyDescent="0.2">
      <c r="D336" s="25" t="str">
        <f>"Объем: "&amp;Source!I163&amp;"=2/"&amp;"10"</f>
        <v>Объем: 0,2=2/10</v>
      </c>
    </row>
    <row r="337" spans="1:22" ht="14.25" x14ac:dyDescent="0.2">
      <c r="A337" s="18"/>
      <c r="B337" s="18"/>
      <c r="C337" s="18"/>
      <c r="D337" s="18" t="s">
        <v>731</v>
      </c>
      <c r="E337" s="19"/>
      <c r="F337" s="9"/>
      <c r="G337" s="21">
        <f>Source!AO163</f>
        <v>568.09</v>
      </c>
      <c r="H337" s="20" t="str">
        <f>Source!DG163</f>
        <v/>
      </c>
      <c r="I337" s="9">
        <f>Source!AV163</f>
        <v>1</v>
      </c>
      <c r="J337" s="9">
        <f>IF(Source!BA163&lt;&gt; 0, Source!BA163, 1)</f>
        <v>1</v>
      </c>
      <c r="K337" s="21">
        <f>Source!S163</f>
        <v>113.62</v>
      </c>
      <c r="L337" s="21"/>
    </row>
    <row r="338" spans="1:22" ht="14.25" x14ac:dyDescent="0.2">
      <c r="A338" s="18"/>
      <c r="B338" s="18"/>
      <c r="C338" s="18"/>
      <c r="D338" s="18" t="s">
        <v>733</v>
      </c>
      <c r="E338" s="19" t="s">
        <v>734</v>
      </c>
      <c r="F338" s="9">
        <f>Source!AT163</f>
        <v>70</v>
      </c>
      <c r="G338" s="21"/>
      <c r="H338" s="20"/>
      <c r="I338" s="9"/>
      <c r="J338" s="9"/>
      <c r="K338" s="21">
        <f>SUM(R335:R337)</f>
        <v>79.53</v>
      </c>
      <c r="L338" s="21"/>
    </row>
    <row r="339" spans="1:22" ht="14.25" x14ac:dyDescent="0.2">
      <c r="A339" s="18"/>
      <c r="B339" s="18"/>
      <c r="C339" s="18"/>
      <c r="D339" s="18" t="s">
        <v>735</v>
      </c>
      <c r="E339" s="19" t="s">
        <v>734</v>
      </c>
      <c r="F339" s="9">
        <f>Source!AU163</f>
        <v>10</v>
      </c>
      <c r="G339" s="21"/>
      <c r="H339" s="20"/>
      <c r="I339" s="9"/>
      <c r="J339" s="9"/>
      <c r="K339" s="21">
        <f>SUM(T335:T338)</f>
        <v>11.36</v>
      </c>
      <c r="L339" s="21"/>
    </row>
    <row r="340" spans="1:22" ht="14.25" x14ac:dyDescent="0.2">
      <c r="A340" s="18"/>
      <c r="B340" s="18"/>
      <c r="C340" s="18"/>
      <c r="D340" s="18" t="s">
        <v>736</v>
      </c>
      <c r="E340" s="19" t="s">
        <v>737</v>
      </c>
      <c r="F340" s="9">
        <f>Source!AQ163</f>
        <v>0.92</v>
      </c>
      <c r="G340" s="21"/>
      <c r="H340" s="20" t="str">
        <f>Source!DI163</f>
        <v/>
      </c>
      <c r="I340" s="9">
        <f>Source!AV163</f>
        <v>1</v>
      </c>
      <c r="J340" s="9"/>
      <c r="K340" s="21"/>
      <c r="L340" s="21">
        <f>Source!U163</f>
        <v>0.18400000000000002</v>
      </c>
    </row>
    <row r="341" spans="1:22" ht="15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51">
        <f>K337+K338+K339</f>
        <v>204.51</v>
      </c>
      <c r="K341" s="51"/>
      <c r="L341" s="24">
        <f>IF(Source!I163&lt;&gt;0, ROUND(J341/Source!I163, 2), 0)</f>
        <v>1022.55</v>
      </c>
      <c r="P341" s="22">
        <f>J341</f>
        <v>204.51</v>
      </c>
    </row>
    <row r="343" spans="1:22" ht="15" x14ac:dyDescent="0.25">
      <c r="A343" s="54" t="str">
        <f>CONCATENATE("Итого по подразделу: ",IF(Source!G169&lt;&gt;"Новый подраздел", Source!G169, ""))</f>
        <v>Итого по подразделу: 2.2 Индивидуальный тепловой пункт</v>
      </c>
      <c r="B343" s="54"/>
      <c r="C343" s="54"/>
      <c r="D343" s="54"/>
      <c r="E343" s="54"/>
      <c r="F343" s="54"/>
      <c r="G343" s="54"/>
      <c r="H343" s="54"/>
      <c r="I343" s="54"/>
      <c r="J343" s="53">
        <f>SUM(P77:P342)</f>
        <v>82518.430000000008</v>
      </c>
      <c r="K343" s="71"/>
      <c r="L343" s="26"/>
    </row>
    <row r="346" spans="1:22" ht="15" x14ac:dyDescent="0.25">
      <c r="A346" s="54" t="str">
        <f>CONCATENATE("Итого по разделу: ",IF(Source!G199&lt;&gt;"Новый раздел", Source!G199, ""))</f>
        <v>Итого по разделу: Раздел: 2. Внутренние сети отопления и ИТП</v>
      </c>
      <c r="B346" s="54"/>
      <c r="C346" s="54"/>
      <c r="D346" s="54"/>
      <c r="E346" s="54"/>
      <c r="F346" s="54"/>
      <c r="G346" s="54"/>
      <c r="H346" s="54"/>
      <c r="I346" s="54"/>
      <c r="J346" s="53">
        <f>SUM(P59:P345)</f>
        <v>90500.510000000009</v>
      </c>
      <c r="K346" s="71"/>
      <c r="L346" s="26"/>
    </row>
    <row r="349" spans="1:22" ht="16.5" x14ac:dyDescent="0.25">
      <c r="A349" s="50" t="str">
        <f>CONCATENATE("Раздел: ",IF(Source!G229&lt;&gt;"Новый раздел", Source!G229, ""))</f>
        <v>Раздел: Раздел: 3. Вентиляция и теплоснабжение приточных установок</v>
      </c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1:22" ht="42.75" x14ac:dyDescent="0.2">
      <c r="A350" s="18">
        <v>38</v>
      </c>
      <c r="B350" s="18">
        <v>38</v>
      </c>
      <c r="C350" s="18" t="str">
        <f>Source!F235</f>
        <v>1.18-2403-21-6/1</v>
      </c>
      <c r="D350" s="18" t="str">
        <f>Source!G235</f>
        <v>Техническое обслуживание приточных установок производительностью до 20000 м3/ч - ежеквартальное</v>
      </c>
      <c r="E350" s="19" t="str">
        <f>Source!H235</f>
        <v>установка</v>
      </c>
      <c r="F350" s="9">
        <f>Source!I235</f>
        <v>4</v>
      </c>
      <c r="G350" s="21"/>
      <c r="H350" s="20"/>
      <c r="I350" s="9"/>
      <c r="J350" s="9"/>
      <c r="K350" s="21"/>
      <c r="L350" s="21"/>
      <c r="Q350">
        <f>ROUND((Source!BZ235/100)*ROUND((Source!AF235*Source!AV235)*Source!I235, 2), 2)</f>
        <v>18728.7</v>
      </c>
      <c r="R350">
        <f>Source!X235</f>
        <v>18728.7</v>
      </c>
      <c r="S350">
        <f>ROUND((Source!CA235/100)*ROUND((Source!AF235*Source!AV235)*Source!I235, 2), 2)</f>
        <v>2675.53</v>
      </c>
      <c r="T350">
        <f>Source!Y235</f>
        <v>2675.53</v>
      </c>
      <c r="U350">
        <f>ROUND((175/100)*ROUND((Source!AE235*Source!AV235)*Source!I235, 2), 2)</f>
        <v>0.98</v>
      </c>
      <c r="V350">
        <f>ROUND((108/100)*ROUND(Source!CS235*Source!I235, 2), 2)</f>
        <v>0.6</v>
      </c>
    </row>
    <row r="351" spans="1:22" ht="14.25" x14ac:dyDescent="0.2">
      <c r="A351" s="18"/>
      <c r="B351" s="18"/>
      <c r="C351" s="18"/>
      <c r="D351" s="18" t="s">
        <v>731</v>
      </c>
      <c r="E351" s="19"/>
      <c r="F351" s="9"/>
      <c r="G351" s="21">
        <f>Source!AO235</f>
        <v>3344.41</v>
      </c>
      <c r="H351" s="20" t="str">
        <f>Source!DG235</f>
        <v>)*2</v>
      </c>
      <c r="I351" s="9">
        <f>Source!AV235</f>
        <v>1</v>
      </c>
      <c r="J351" s="9">
        <f>IF(Source!BA235&lt;&gt; 0, Source!BA235, 1)</f>
        <v>1</v>
      </c>
      <c r="K351" s="21">
        <f>Source!S235</f>
        <v>26755.279999999999</v>
      </c>
      <c r="L351" s="21"/>
    </row>
    <row r="352" spans="1:22" ht="14.25" x14ac:dyDescent="0.2">
      <c r="A352" s="18"/>
      <c r="B352" s="18"/>
      <c r="C352" s="18"/>
      <c r="D352" s="18" t="s">
        <v>738</v>
      </c>
      <c r="E352" s="19"/>
      <c r="F352" s="9"/>
      <c r="G352" s="21">
        <f>Source!AM235</f>
        <v>5.36</v>
      </c>
      <c r="H352" s="20" t="str">
        <f>Source!DE235</f>
        <v>)*2</v>
      </c>
      <c r="I352" s="9">
        <f>Source!AV235</f>
        <v>1</v>
      </c>
      <c r="J352" s="9">
        <f>IF(Source!BB235&lt;&gt; 0, Source!BB235, 1)</f>
        <v>1</v>
      </c>
      <c r="K352" s="21">
        <f>Source!Q235</f>
        <v>42.88</v>
      </c>
      <c r="L352" s="21"/>
    </row>
    <row r="353" spans="1:22" ht="14.25" x14ac:dyDescent="0.2">
      <c r="A353" s="18"/>
      <c r="B353" s="18"/>
      <c r="C353" s="18"/>
      <c r="D353" s="18" t="s">
        <v>739</v>
      </c>
      <c r="E353" s="19"/>
      <c r="F353" s="9"/>
      <c r="G353" s="21">
        <f>Source!AN235</f>
        <v>7.0000000000000007E-2</v>
      </c>
      <c r="H353" s="20" t="str">
        <f>Source!DF235</f>
        <v>)*2</v>
      </c>
      <c r="I353" s="9">
        <f>Source!AV235</f>
        <v>1</v>
      </c>
      <c r="J353" s="9">
        <f>IF(Source!BS235&lt;&gt; 0, Source!BS235, 1)</f>
        <v>1</v>
      </c>
      <c r="K353" s="27">
        <f>Source!R235</f>
        <v>0.56000000000000005</v>
      </c>
      <c r="L353" s="21"/>
    </row>
    <row r="354" spans="1:22" ht="14.25" x14ac:dyDescent="0.2">
      <c r="A354" s="18"/>
      <c r="B354" s="18"/>
      <c r="C354" s="18"/>
      <c r="D354" s="18" t="s">
        <v>732</v>
      </c>
      <c r="E354" s="19"/>
      <c r="F354" s="9"/>
      <c r="G354" s="21">
        <f>Source!AL235</f>
        <v>32.119999999999997</v>
      </c>
      <c r="H354" s="20" t="str">
        <f>Source!DD235</f>
        <v>)*2</v>
      </c>
      <c r="I354" s="9">
        <f>Source!AW235</f>
        <v>1</v>
      </c>
      <c r="J354" s="9">
        <f>IF(Source!BC235&lt;&gt; 0, Source!BC235, 1)</f>
        <v>1</v>
      </c>
      <c r="K354" s="21">
        <f>Source!P235</f>
        <v>256.95999999999998</v>
      </c>
      <c r="L354" s="21"/>
    </row>
    <row r="355" spans="1:22" ht="14.25" x14ac:dyDescent="0.2">
      <c r="A355" s="18"/>
      <c r="B355" s="18"/>
      <c r="C355" s="18"/>
      <c r="D355" s="18" t="s">
        <v>733</v>
      </c>
      <c r="E355" s="19" t="s">
        <v>734</v>
      </c>
      <c r="F355" s="9">
        <f>Source!AT235</f>
        <v>70</v>
      </c>
      <c r="G355" s="21"/>
      <c r="H355" s="20"/>
      <c r="I355" s="9"/>
      <c r="J355" s="9"/>
      <c r="K355" s="21">
        <f>SUM(R350:R354)</f>
        <v>18728.7</v>
      </c>
      <c r="L355" s="21"/>
    </row>
    <row r="356" spans="1:22" ht="14.25" x14ac:dyDescent="0.2">
      <c r="A356" s="18"/>
      <c r="B356" s="18"/>
      <c r="C356" s="18"/>
      <c r="D356" s="18" t="s">
        <v>735</v>
      </c>
      <c r="E356" s="19" t="s">
        <v>734</v>
      </c>
      <c r="F356" s="9">
        <f>Source!AU235</f>
        <v>10</v>
      </c>
      <c r="G356" s="21"/>
      <c r="H356" s="20"/>
      <c r="I356" s="9"/>
      <c r="J356" s="9"/>
      <c r="K356" s="21">
        <f>SUM(T350:T355)</f>
        <v>2675.53</v>
      </c>
      <c r="L356" s="21"/>
    </row>
    <row r="357" spans="1:22" ht="14.25" x14ac:dyDescent="0.2">
      <c r="A357" s="18"/>
      <c r="B357" s="18"/>
      <c r="C357" s="18"/>
      <c r="D357" s="18" t="s">
        <v>740</v>
      </c>
      <c r="E357" s="19" t="s">
        <v>734</v>
      </c>
      <c r="F357" s="9">
        <f>108</f>
        <v>108</v>
      </c>
      <c r="G357" s="21"/>
      <c r="H357" s="20"/>
      <c r="I357" s="9"/>
      <c r="J357" s="9"/>
      <c r="K357" s="21">
        <f>SUM(V350:V356)</f>
        <v>0.6</v>
      </c>
      <c r="L357" s="21"/>
    </row>
    <row r="358" spans="1:22" ht="14.25" x14ac:dyDescent="0.2">
      <c r="A358" s="18"/>
      <c r="B358" s="18"/>
      <c r="C358" s="18"/>
      <c r="D358" s="18" t="s">
        <v>736</v>
      </c>
      <c r="E358" s="19" t="s">
        <v>737</v>
      </c>
      <c r="F358" s="9">
        <f>Source!AQ235</f>
        <v>5.04</v>
      </c>
      <c r="G358" s="21"/>
      <c r="H358" s="20" t="str">
        <f>Source!DI235</f>
        <v>)*2</v>
      </c>
      <c r="I358" s="9">
        <f>Source!AV235</f>
        <v>1</v>
      </c>
      <c r="J358" s="9"/>
      <c r="K358" s="21"/>
      <c r="L358" s="21">
        <f>Source!U235</f>
        <v>40.32</v>
      </c>
    </row>
    <row r="359" spans="1:22" ht="15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51">
        <f>K351+K352+K354+K355+K356+K357</f>
        <v>48459.95</v>
      </c>
      <c r="K359" s="51"/>
      <c r="L359" s="24">
        <f>IF(Source!I235&lt;&gt;0, ROUND(J359/Source!I235, 2), 0)</f>
        <v>12114.99</v>
      </c>
      <c r="P359" s="22">
        <f>J359</f>
        <v>48459.95</v>
      </c>
    </row>
    <row r="360" spans="1:22" ht="42.75" x14ac:dyDescent="0.2">
      <c r="A360" s="18">
        <v>39</v>
      </c>
      <c r="B360" s="18">
        <v>39</v>
      </c>
      <c r="C360" s="18" t="str">
        <f>Source!F239</f>
        <v>1.18-2403-21-4/1</v>
      </c>
      <c r="D360" s="18" t="str">
        <f>Source!G239</f>
        <v>Техническое обслуживание приточных установок производительностью до 5000 м3/ч - ежеквартальное</v>
      </c>
      <c r="E360" s="19" t="str">
        <f>Source!H239</f>
        <v>установка</v>
      </c>
      <c r="F360" s="9">
        <f>Source!I239</f>
        <v>1</v>
      </c>
      <c r="G360" s="21"/>
      <c r="H360" s="20"/>
      <c r="I360" s="9"/>
      <c r="J360" s="9"/>
      <c r="K360" s="21"/>
      <c r="L360" s="21"/>
      <c r="Q360">
        <f>ROUND((Source!BZ239/100)*ROUND((Source!AF239*Source!AV239)*Source!I239, 2), 2)</f>
        <v>2917.08</v>
      </c>
      <c r="R360">
        <f>Source!X239</f>
        <v>2917.08</v>
      </c>
      <c r="S360">
        <f>ROUND((Source!CA239/100)*ROUND((Source!AF239*Source!AV239)*Source!I239, 2), 2)</f>
        <v>416.73</v>
      </c>
      <c r="T360">
        <f>Source!Y239</f>
        <v>416.73</v>
      </c>
      <c r="U360">
        <f>ROUND((175/100)*ROUND((Source!AE239*Source!AV239)*Source!I239, 2), 2)</f>
        <v>7.0000000000000007E-2</v>
      </c>
      <c r="V360">
        <f>ROUND((108/100)*ROUND(Source!CS239*Source!I239, 2), 2)</f>
        <v>0.04</v>
      </c>
    </row>
    <row r="361" spans="1:22" ht="14.25" x14ac:dyDescent="0.2">
      <c r="A361" s="18"/>
      <c r="B361" s="18"/>
      <c r="C361" s="18"/>
      <c r="D361" s="18" t="s">
        <v>731</v>
      </c>
      <c r="E361" s="19"/>
      <c r="F361" s="9"/>
      <c r="G361" s="21">
        <f>Source!AO239</f>
        <v>2083.63</v>
      </c>
      <c r="H361" s="20" t="str">
        <f>Source!DG239</f>
        <v>)*2</v>
      </c>
      <c r="I361" s="9">
        <f>Source!AV239</f>
        <v>1</v>
      </c>
      <c r="J361" s="9">
        <f>IF(Source!BA239&lt;&gt; 0, Source!BA239, 1)</f>
        <v>1</v>
      </c>
      <c r="K361" s="21">
        <f>Source!S239</f>
        <v>4167.26</v>
      </c>
      <c r="L361" s="21"/>
    </row>
    <row r="362" spans="1:22" ht="14.25" x14ac:dyDescent="0.2">
      <c r="A362" s="18"/>
      <c r="B362" s="18"/>
      <c r="C362" s="18"/>
      <c r="D362" s="18" t="s">
        <v>738</v>
      </c>
      <c r="E362" s="19"/>
      <c r="F362" s="9"/>
      <c r="G362" s="21">
        <f>Source!AM239</f>
        <v>1.79</v>
      </c>
      <c r="H362" s="20" t="str">
        <f>Source!DE239</f>
        <v>)*2</v>
      </c>
      <c r="I362" s="9">
        <f>Source!AV239</f>
        <v>1</v>
      </c>
      <c r="J362" s="9">
        <f>IF(Source!BB239&lt;&gt; 0, Source!BB239, 1)</f>
        <v>1</v>
      </c>
      <c r="K362" s="21">
        <f>Source!Q239</f>
        <v>3.58</v>
      </c>
      <c r="L362" s="21"/>
    </row>
    <row r="363" spans="1:22" ht="14.25" x14ac:dyDescent="0.2">
      <c r="A363" s="18"/>
      <c r="B363" s="18"/>
      <c r="C363" s="18"/>
      <c r="D363" s="18" t="s">
        <v>739</v>
      </c>
      <c r="E363" s="19"/>
      <c r="F363" s="9"/>
      <c r="G363" s="21">
        <f>Source!AN239</f>
        <v>0.02</v>
      </c>
      <c r="H363" s="20" t="str">
        <f>Source!DF239</f>
        <v>)*2</v>
      </c>
      <c r="I363" s="9">
        <f>Source!AV239</f>
        <v>1</v>
      </c>
      <c r="J363" s="9">
        <f>IF(Source!BS239&lt;&gt; 0, Source!BS239, 1)</f>
        <v>1</v>
      </c>
      <c r="K363" s="27">
        <f>Source!R239</f>
        <v>0.04</v>
      </c>
      <c r="L363" s="21"/>
    </row>
    <row r="364" spans="1:22" ht="14.25" x14ac:dyDescent="0.2">
      <c r="A364" s="18"/>
      <c r="B364" s="18"/>
      <c r="C364" s="18"/>
      <c r="D364" s="18" t="s">
        <v>732</v>
      </c>
      <c r="E364" s="19"/>
      <c r="F364" s="9"/>
      <c r="G364" s="21">
        <f>Source!AL239</f>
        <v>10.08</v>
      </c>
      <c r="H364" s="20" t="str">
        <f>Source!DD239</f>
        <v>)*2</v>
      </c>
      <c r="I364" s="9">
        <f>Source!AW239</f>
        <v>1</v>
      </c>
      <c r="J364" s="9">
        <f>IF(Source!BC239&lt;&gt; 0, Source!BC239, 1)</f>
        <v>1</v>
      </c>
      <c r="K364" s="21">
        <f>Source!P239</f>
        <v>20.16</v>
      </c>
      <c r="L364" s="21"/>
    </row>
    <row r="365" spans="1:22" ht="14.25" x14ac:dyDescent="0.2">
      <c r="A365" s="18"/>
      <c r="B365" s="18"/>
      <c r="C365" s="18"/>
      <c r="D365" s="18" t="s">
        <v>733</v>
      </c>
      <c r="E365" s="19" t="s">
        <v>734</v>
      </c>
      <c r="F365" s="9">
        <f>Source!AT239</f>
        <v>70</v>
      </c>
      <c r="G365" s="21"/>
      <c r="H365" s="20"/>
      <c r="I365" s="9"/>
      <c r="J365" s="9"/>
      <c r="K365" s="21">
        <f>SUM(R360:R364)</f>
        <v>2917.08</v>
      </c>
      <c r="L365" s="21"/>
    </row>
    <row r="366" spans="1:22" ht="14.25" x14ac:dyDescent="0.2">
      <c r="A366" s="18"/>
      <c r="B366" s="18"/>
      <c r="C366" s="18"/>
      <c r="D366" s="18" t="s">
        <v>735</v>
      </c>
      <c r="E366" s="19" t="s">
        <v>734</v>
      </c>
      <c r="F366" s="9">
        <f>Source!AU239</f>
        <v>10</v>
      </c>
      <c r="G366" s="21"/>
      <c r="H366" s="20"/>
      <c r="I366" s="9"/>
      <c r="J366" s="9"/>
      <c r="K366" s="21">
        <f>SUM(T360:T365)</f>
        <v>416.73</v>
      </c>
      <c r="L366" s="21"/>
    </row>
    <row r="367" spans="1:22" ht="14.25" x14ac:dyDescent="0.2">
      <c r="A367" s="18"/>
      <c r="B367" s="18"/>
      <c r="C367" s="18"/>
      <c r="D367" s="18" t="s">
        <v>740</v>
      </c>
      <c r="E367" s="19" t="s">
        <v>734</v>
      </c>
      <c r="F367" s="9">
        <f>108</f>
        <v>108</v>
      </c>
      <c r="G367" s="21"/>
      <c r="H367" s="20"/>
      <c r="I367" s="9"/>
      <c r="J367" s="9"/>
      <c r="K367" s="21">
        <f>SUM(V360:V366)</f>
        <v>0.04</v>
      </c>
      <c r="L367" s="21"/>
    </row>
    <row r="368" spans="1:22" ht="14.25" x14ac:dyDescent="0.2">
      <c r="A368" s="18"/>
      <c r="B368" s="18"/>
      <c r="C368" s="18"/>
      <c r="D368" s="18" t="s">
        <v>736</v>
      </c>
      <c r="E368" s="19" t="s">
        <v>737</v>
      </c>
      <c r="F368" s="9">
        <f>Source!AQ239</f>
        <v>3.14</v>
      </c>
      <c r="G368" s="21"/>
      <c r="H368" s="20" t="str">
        <f>Source!DI239</f>
        <v>)*2</v>
      </c>
      <c r="I368" s="9">
        <f>Source!AV239</f>
        <v>1</v>
      </c>
      <c r="J368" s="9"/>
      <c r="K368" s="21"/>
      <c r="L368" s="21">
        <f>Source!U239</f>
        <v>6.28</v>
      </c>
    </row>
    <row r="369" spans="1:22" ht="15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51">
        <f>K361+K362+K364+K365+K366+K367</f>
        <v>7524.8499999999995</v>
      </c>
      <c r="K369" s="51"/>
      <c r="L369" s="24">
        <f>IF(Source!I239&lt;&gt;0, ROUND(J369/Source!I239, 2), 0)</f>
        <v>7524.85</v>
      </c>
      <c r="P369" s="22">
        <f>J369</f>
        <v>7524.8499999999995</v>
      </c>
    </row>
    <row r="370" spans="1:22" ht="42.75" x14ac:dyDescent="0.2">
      <c r="A370" s="18">
        <v>40</v>
      </c>
      <c r="B370" s="18">
        <v>40</v>
      </c>
      <c r="C370" s="18" t="str">
        <f>Source!F244</f>
        <v>1.18-2403-20-4/1</v>
      </c>
      <c r="D370" s="18" t="str">
        <f>Source!G244</f>
        <v>Техническое обслуживание вытяжных установок производительностью до 20000 м3/ч - ежеквартальное</v>
      </c>
      <c r="E370" s="19" t="str">
        <f>Source!H244</f>
        <v>установка</v>
      </c>
      <c r="F370" s="9">
        <f>Source!I244</f>
        <v>4</v>
      </c>
      <c r="G370" s="21"/>
      <c r="H370" s="20"/>
      <c r="I370" s="9"/>
      <c r="J370" s="9"/>
      <c r="K370" s="21"/>
      <c r="L370" s="21"/>
      <c r="Q370">
        <f>ROUND((Source!BZ244/100)*ROUND((Source!AF244*Source!AV244)*Source!I244, 2), 2)</f>
        <v>10330.540000000001</v>
      </c>
      <c r="R370">
        <f>Source!X244</f>
        <v>10330.540000000001</v>
      </c>
      <c r="S370">
        <f>ROUND((Source!CA244/100)*ROUND((Source!AF244*Source!AV244)*Source!I244, 2), 2)</f>
        <v>1475.79</v>
      </c>
      <c r="T370">
        <f>Source!Y244</f>
        <v>1475.79</v>
      </c>
      <c r="U370">
        <f>ROUND((175/100)*ROUND((Source!AE244*Source!AV244)*Source!I244, 2), 2)</f>
        <v>0</v>
      </c>
      <c r="V370">
        <f>ROUND((108/100)*ROUND(Source!CS244*Source!I244, 2), 2)</f>
        <v>0</v>
      </c>
    </row>
    <row r="371" spans="1:22" ht="14.25" x14ac:dyDescent="0.2">
      <c r="A371" s="18"/>
      <c r="B371" s="18"/>
      <c r="C371" s="18"/>
      <c r="D371" s="18" t="s">
        <v>731</v>
      </c>
      <c r="E371" s="19"/>
      <c r="F371" s="9"/>
      <c r="G371" s="21">
        <f>Source!AO244</f>
        <v>1844.74</v>
      </c>
      <c r="H371" s="20" t="str">
        <f>Source!DG244</f>
        <v>)*2</v>
      </c>
      <c r="I371" s="9">
        <f>Source!AV244</f>
        <v>1</v>
      </c>
      <c r="J371" s="9">
        <f>IF(Source!BA244&lt;&gt; 0, Source!BA244, 1)</f>
        <v>1</v>
      </c>
      <c r="K371" s="21">
        <f>Source!S244</f>
        <v>14757.92</v>
      </c>
      <c r="L371" s="21"/>
    </row>
    <row r="372" spans="1:22" ht="14.25" x14ac:dyDescent="0.2">
      <c r="A372" s="18"/>
      <c r="B372" s="18"/>
      <c r="C372" s="18"/>
      <c r="D372" s="18" t="s">
        <v>732</v>
      </c>
      <c r="E372" s="19"/>
      <c r="F372" s="9"/>
      <c r="G372" s="21">
        <f>Source!AL244</f>
        <v>0.13</v>
      </c>
      <c r="H372" s="20" t="str">
        <f>Source!DD244</f>
        <v>)*2</v>
      </c>
      <c r="I372" s="9">
        <f>Source!AW244</f>
        <v>1</v>
      </c>
      <c r="J372" s="9">
        <f>IF(Source!BC244&lt;&gt; 0, Source!BC244, 1)</f>
        <v>1</v>
      </c>
      <c r="K372" s="21">
        <f>Source!P244</f>
        <v>1.04</v>
      </c>
      <c r="L372" s="21"/>
    </row>
    <row r="373" spans="1:22" ht="14.25" x14ac:dyDescent="0.2">
      <c r="A373" s="18"/>
      <c r="B373" s="18"/>
      <c r="C373" s="18"/>
      <c r="D373" s="18" t="s">
        <v>733</v>
      </c>
      <c r="E373" s="19" t="s">
        <v>734</v>
      </c>
      <c r="F373" s="9">
        <f>Source!AT244</f>
        <v>70</v>
      </c>
      <c r="G373" s="21"/>
      <c r="H373" s="20"/>
      <c r="I373" s="9"/>
      <c r="J373" s="9"/>
      <c r="K373" s="21">
        <f>SUM(R370:R372)</f>
        <v>10330.540000000001</v>
      </c>
      <c r="L373" s="21"/>
    </row>
    <row r="374" spans="1:22" ht="14.25" x14ac:dyDescent="0.2">
      <c r="A374" s="18"/>
      <c r="B374" s="18"/>
      <c r="C374" s="18"/>
      <c r="D374" s="18" t="s">
        <v>735</v>
      </c>
      <c r="E374" s="19" t="s">
        <v>734</v>
      </c>
      <c r="F374" s="9">
        <f>Source!AU244</f>
        <v>10</v>
      </c>
      <c r="G374" s="21"/>
      <c r="H374" s="20"/>
      <c r="I374" s="9"/>
      <c r="J374" s="9"/>
      <c r="K374" s="21">
        <f>SUM(T370:T373)</f>
        <v>1475.79</v>
      </c>
      <c r="L374" s="21"/>
    </row>
    <row r="375" spans="1:22" ht="14.25" x14ac:dyDescent="0.2">
      <c r="A375" s="18"/>
      <c r="B375" s="18"/>
      <c r="C375" s="18"/>
      <c r="D375" s="18" t="s">
        <v>736</v>
      </c>
      <c r="E375" s="19" t="s">
        <v>737</v>
      </c>
      <c r="F375" s="9">
        <f>Source!AQ244</f>
        <v>2.78</v>
      </c>
      <c r="G375" s="21"/>
      <c r="H375" s="20" t="str">
        <f>Source!DI244</f>
        <v>)*2</v>
      </c>
      <c r="I375" s="9">
        <f>Source!AV244</f>
        <v>1</v>
      </c>
      <c r="J375" s="9"/>
      <c r="K375" s="21"/>
      <c r="L375" s="21">
        <f>Source!U244</f>
        <v>22.24</v>
      </c>
    </row>
    <row r="376" spans="1:22" ht="15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51">
        <f>K371+K372+K373+K374</f>
        <v>26565.29</v>
      </c>
      <c r="K376" s="51"/>
      <c r="L376" s="24">
        <f>IF(Source!I244&lt;&gt;0, ROUND(J376/Source!I244, 2), 0)</f>
        <v>6641.32</v>
      </c>
      <c r="P376" s="22">
        <f>J376</f>
        <v>26565.29</v>
      </c>
    </row>
    <row r="377" spans="1:22" ht="57" x14ac:dyDescent="0.2">
      <c r="A377" s="18">
        <v>41</v>
      </c>
      <c r="B377" s="18">
        <v>41</v>
      </c>
      <c r="C377" s="18" t="str">
        <f>Source!F248</f>
        <v>1.18-2403-20-3/1</v>
      </c>
      <c r="D377" s="18" t="str">
        <f>Source!G248</f>
        <v>Техническое обслуживание вытяжных установок производительностью до 5000 м3/ч - ежеквартальное / применительно до 2000 м3/ч</v>
      </c>
      <c r="E377" s="19" t="str">
        <f>Source!H248</f>
        <v>установка</v>
      </c>
      <c r="F377" s="9">
        <f>Source!I248</f>
        <v>1</v>
      </c>
      <c r="G377" s="21"/>
      <c r="H377" s="20"/>
      <c r="I377" s="9"/>
      <c r="J377" s="9"/>
      <c r="K377" s="21"/>
      <c r="L377" s="21"/>
      <c r="Q377">
        <f>ROUND((Source!BZ248/100)*ROUND((Source!AF248*Source!AV248)*Source!I248, 2), 2)</f>
        <v>2211.0300000000002</v>
      </c>
      <c r="R377">
        <f>Source!X248</f>
        <v>2211.0300000000002</v>
      </c>
      <c r="S377">
        <f>ROUND((Source!CA248/100)*ROUND((Source!AF248*Source!AV248)*Source!I248, 2), 2)</f>
        <v>315.86</v>
      </c>
      <c r="T377">
        <f>Source!Y248</f>
        <v>315.86</v>
      </c>
      <c r="U377">
        <f>ROUND((175/100)*ROUND((Source!AE248*Source!AV248)*Source!I248, 2), 2)</f>
        <v>0</v>
      </c>
      <c r="V377">
        <f>ROUND((108/100)*ROUND(Source!CS248*Source!I248, 2), 2)</f>
        <v>0</v>
      </c>
    </row>
    <row r="378" spans="1:22" ht="14.25" x14ac:dyDescent="0.2">
      <c r="A378" s="18"/>
      <c r="B378" s="18"/>
      <c r="C378" s="18"/>
      <c r="D378" s="18" t="s">
        <v>731</v>
      </c>
      <c r="E378" s="19"/>
      <c r="F378" s="9"/>
      <c r="G378" s="21">
        <f>Source!AO248</f>
        <v>1579.31</v>
      </c>
      <c r="H378" s="20" t="str">
        <f>Source!DG248</f>
        <v>)*2</v>
      </c>
      <c r="I378" s="9">
        <f>Source!AV248</f>
        <v>1</v>
      </c>
      <c r="J378" s="9">
        <f>IF(Source!BA248&lt;&gt; 0, Source!BA248, 1)</f>
        <v>1</v>
      </c>
      <c r="K378" s="21">
        <f>Source!S248</f>
        <v>3158.62</v>
      </c>
      <c r="L378" s="21"/>
    </row>
    <row r="379" spans="1:22" ht="14.25" x14ac:dyDescent="0.2">
      <c r="A379" s="18"/>
      <c r="B379" s="18"/>
      <c r="C379" s="18"/>
      <c r="D379" s="18" t="s">
        <v>732</v>
      </c>
      <c r="E379" s="19"/>
      <c r="F379" s="9"/>
      <c r="G379" s="21">
        <f>Source!AL248</f>
        <v>0.03</v>
      </c>
      <c r="H379" s="20" t="str">
        <f>Source!DD248</f>
        <v>)*2</v>
      </c>
      <c r="I379" s="9">
        <f>Source!AW248</f>
        <v>1</v>
      </c>
      <c r="J379" s="9">
        <f>IF(Source!BC248&lt;&gt; 0, Source!BC248, 1)</f>
        <v>1</v>
      </c>
      <c r="K379" s="21">
        <f>Source!P248</f>
        <v>0.06</v>
      </c>
      <c r="L379" s="21"/>
    </row>
    <row r="380" spans="1:22" ht="14.25" x14ac:dyDescent="0.2">
      <c r="A380" s="18"/>
      <c r="B380" s="18"/>
      <c r="C380" s="18"/>
      <c r="D380" s="18" t="s">
        <v>733</v>
      </c>
      <c r="E380" s="19" t="s">
        <v>734</v>
      </c>
      <c r="F380" s="9">
        <f>Source!AT248</f>
        <v>70</v>
      </c>
      <c r="G380" s="21"/>
      <c r="H380" s="20"/>
      <c r="I380" s="9"/>
      <c r="J380" s="9"/>
      <c r="K380" s="21">
        <f>SUM(R377:R379)</f>
        <v>2211.0300000000002</v>
      </c>
      <c r="L380" s="21"/>
    </row>
    <row r="381" spans="1:22" ht="14.25" x14ac:dyDescent="0.2">
      <c r="A381" s="18"/>
      <c r="B381" s="18"/>
      <c r="C381" s="18"/>
      <c r="D381" s="18" t="s">
        <v>735</v>
      </c>
      <c r="E381" s="19" t="s">
        <v>734</v>
      </c>
      <c r="F381" s="9">
        <f>Source!AU248</f>
        <v>10</v>
      </c>
      <c r="G381" s="21"/>
      <c r="H381" s="20"/>
      <c r="I381" s="9"/>
      <c r="J381" s="9"/>
      <c r="K381" s="21">
        <f>SUM(T377:T380)</f>
        <v>315.86</v>
      </c>
      <c r="L381" s="21"/>
    </row>
    <row r="382" spans="1:22" ht="14.25" x14ac:dyDescent="0.2">
      <c r="A382" s="18"/>
      <c r="B382" s="18"/>
      <c r="C382" s="18"/>
      <c r="D382" s="18" t="s">
        <v>736</v>
      </c>
      <c r="E382" s="19" t="s">
        <v>737</v>
      </c>
      <c r="F382" s="9">
        <f>Source!AQ248</f>
        <v>2.38</v>
      </c>
      <c r="G382" s="21"/>
      <c r="H382" s="20" t="str">
        <f>Source!DI248</f>
        <v>)*2</v>
      </c>
      <c r="I382" s="9">
        <f>Source!AV248</f>
        <v>1</v>
      </c>
      <c r="J382" s="9"/>
      <c r="K382" s="21"/>
      <c r="L382" s="21">
        <f>Source!U248</f>
        <v>4.76</v>
      </c>
    </row>
    <row r="383" spans="1:22" ht="15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51">
        <f>K378+K379+K380+K381</f>
        <v>5685.57</v>
      </c>
      <c r="K383" s="51"/>
      <c r="L383" s="24">
        <f>IF(Source!I248&lt;&gt;0, ROUND(J383/Source!I248, 2), 0)</f>
        <v>5685.57</v>
      </c>
      <c r="P383" s="22">
        <f>J383</f>
        <v>5685.57</v>
      </c>
    </row>
    <row r="384" spans="1:22" ht="57" x14ac:dyDescent="0.2">
      <c r="A384" s="18">
        <v>42</v>
      </c>
      <c r="B384" s="18">
        <v>42</v>
      </c>
      <c r="C384" s="18" t="str">
        <f>Source!F253</f>
        <v>1.18-2203-3-1/1</v>
      </c>
      <c r="D384" s="18" t="str">
        <f>Source!G253</f>
        <v>Техническое обслуживание клапанов обратных воздушных диаметром/периметром до 560/1600 мм</v>
      </c>
      <c r="E384" s="19" t="str">
        <f>Source!H253</f>
        <v>шт.</v>
      </c>
      <c r="F384" s="9">
        <f>Source!I253</f>
        <v>1</v>
      </c>
      <c r="G384" s="21"/>
      <c r="H384" s="20"/>
      <c r="I384" s="9"/>
      <c r="J384" s="9"/>
      <c r="K384" s="21"/>
      <c r="L384" s="21"/>
      <c r="Q384">
        <f>ROUND((Source!BZ253/100)*ROUND((Source!AF253*Source!AV253)*Source!I253, 2), 2)</f>
        <v>172.9</v>
      </c>
      <c r="R384">
        <f>Source!X253</f>
        <v>172.9</v>
      </c>
      <c r="S384">
        <f>ROUND((Source!CA253/100)*ROUND((Source!AF253*Source!AV253)*Source!I253, 2), 2)</f>
        <v>24.7</v>
      </c>
      <c r="T384">
        <f>Source!Y253</f>
        <v>24.7</v>
      </c>
      <c r="U384">
        <f>ROUND((175/100)*ROUND((Source!AE253*Source!AV253)*Source!I253, 2), 2)</f>
        <v>57.82</v>
      </c>
      <c r="V384">
        <f>ROUND((108/100)*ROUND(Source!CS253*Source!I253, 2), 2)</f>
        <v>35.68</v>
      </c>
    </row>
    <row r="385" spans="1:16" ht="14.25" x14ac:dyDescent="0.2">
      <c r="A385" s="18"/>
      <c r="B385" s="18"/>
      <c r="C385" s="18"/>
      <c r="D385" s="18" t="s">
        <v>731</v>
      </c>
      <c r="E385" s="19"/>
      <c r="F385" s="9"/>
      <c r="G385" s="21">
        <f>Source!AO253</f>
        <v>123.5</v>
      </c>
      <c r="H385" s="20" t="str">
        <f>Source!DG253</f>
        <v>)*2</v>
      </c>
      <c r="I385" s="9">
        <f>Source!AV253</f>
        <v>1</v>
      </c>
      <c r="J385" s="9">
        <f>IF(Source!BA253&lt;&gt; 0, Source!BA253, 1)</f>
        <v>1</v>
      </c>
      <c r="K385" s="21">
        <f>Source!S253</f>
        <v>247</v>
      </c>
      <c r="L385" s="21"/>
    </row>
    <row r="386" spans="1:16" ht="14.25" x14ac:dyDescent="0.2">
      <c r="A386" s="18"/>
      <c r="B386" s="18"/>
      <c r="C386" s="18"/>
      <c r="D386" s="18" t="s">
        <v>738</v>
      </c>
      <c r="E386" s="19"/>
      <c r="F386" s="9"/>
      <c r="G386" s="21">
        <f>Source!AM253</f>
        <v>26.06</v>
      </c>
      <c r="H386" s="20" t="str">
        <f>Source!DE253</f>
        <v>)*2</v>
      </c>
      <c r="I386" s="9">
        <f>Source!AV253</f>
        <v>1</v>
      </c>
      <c r="J386" s="9">
        <f>IF(Source!BB253&lt;&gt; 0, Source!BB253, 1)</f>
        <v>1</v>
      </c>
      <c r="K386" s="21">
        <f>Source!Q253</f>
        <v>52.12</v>
      </c>
      <c r="L386" s="21"/>
    </row>
    <row r="387" spans="1:16" ht="14.25" x14ac:dyDescent="0.2">
      <c r="A387" s="18"/>
      <c r="B387" s="18"/>
      <c r="C387" s="18"/>
      <c r="D387" s="18" t="s">
        <v>739</v>
      </c>
      <c r="E387" s="19"/>
      <c r="F387" s="9"/>
      <c r="G387" s="21">
        <f>Source!AN253</f>
        <v>16.52</v>
      </c>
      <c r="H387" s="20" t="str">
        <f>Source!DF253</f>
        <v>)*2</v>
      </c>
      <c r="I387" s="9">
        <f>Source!AV253</f>
        <v>1</v>
      </c>
      <c r="J387" s="9">
        <f>IF(Source!BS253&lt;&gt; 0, Source!BS253, 1)</f>
        <v>1</v>
      </c>
      <c r="K387" s="27">
        <f>Source!R253</f>
        <v>33.04</v>
      </c>
      <c r="L387" s="21"/>
    </row>
    <row r="388" spans="1:16" ht="14.25" x14ac:dyDescent="0.2">
      <c r="A388" s="18"/>
      <c r="B388" s="18"/>
      <c r="C388" s="18"/>
      <c r="D388" s="18" t="s">
        <v>732</v>
      </c>
      <c r="E388" s="19"/>
      <c r="F388" s="9"/>
      <c r="G388" s="21">
        <f>Source!AL253</f>
        <v>0.47</v>
      </c>
      <c r="H388" s="20" t="str">
        <f>Source!DD253</f>
        <v>)*2</v>
      </c>
      <c r="I388" s="9">
        <f>Source!AW253</f>
        <v>1</v>
      </c>
      <c r="J388" s="9">
        <f>IF(Source!BC253&lt;&gt; 0, Source!BC253, 1)</f>
        <v>1</v>
      </c>
      <c r="K388" s="21">
        <f>Source!P253</f>
        <v>0.94</v>
      </c>
      <c r="L388" s="21"/>
    </row>
    <row r="389" spans="1:16" ht="14.25" x14ac:dyDescent="0.2">
      <c r="A389" s="18"/>
      <c r="B389" s="18"/>
      <c r="C389" s="18"/>
      <c r="D389" s="18" t="s">
        <v>733</v>
      </c>
      <c r="E389" s="19" t="s">
        <v>734</v>
      </c>
      <c r="F389" s="9">
        <f>Source!AT253</f>
        <v>70</v>
      </c>
      <c r="G389" s="21"/>
      <c r="H389" s="20"/>
      <c r="I389" s="9"/>
      <c r="J389" s="9"/>
      <c r="K389" s="21">
        <f>SUM(R384:R388)</f>
        <v>172.9</v>
      </c>
      <c r="L389" s="21"/>
    </row>
    <row r="390" spans="1:16" ht="14.25" x14ac:dyDescent="0.2">
      <c r="A390" s="18"/>
      <c r="B390" s="18"/>
      <c r="C390" s="18"/>
      <c r="D390" s="18" t="s">
        <v>735</v>
      </c>
      <c r="E390" s="19" t="s">
        <v>734</v>
      </c>
      <c r="F390" s="9">
        <f>Source!AU253</f>
        <v>10</v>
      </c>
      <c r="G390" s="21"/>
      <c r="H390" s="20"/>
      <c r="I390" s="9"/>
      <c r="J390" s="9"/>
      <c r="K390" s="21">
        <f>SUM(T384:T389)</f>
        <v>24.7</v>
      </c>
      <c r="L390" s="21"/>
    </row>
    <row r="391" spans="1:16" ht="14.25" x14ac:dyDescent="0.2">
      <c r="A391" s="18"/>
      <c r="B391" s="18"/>
      <c r="C391" s="18"/>
      <c r="D391" s="18" t="s">
        <v>740</v>
      </c>
      <c r="E391" s="19" t="s">
        <v>734</v>
      </c>
      <c r="F391" s="9">
        <f>108</f>
        <v>108</v>
      </c>
      <c r="G391" s="21"/>
      <c r="H391" s="20"/>
      <c r="I391" s="9"/>
      <c r="J391" s="9"/>
      <c r="K391" s="21">
        <f>SUM(V384:V390)</f>
        <v>35.68</v>
      </c>
      <c r="L391" s="21"/>
    </row>
    <row r="392" spans="1:16" ht="14.25" x14ac:dyDescent="0.2">
      <c r="A392" s="18"/>
      <c r="B392" s="18"/>
      <c r="C392" s="18"/>
      <c r="D392" s="18" t="s">
        <v>736</v>
      </c>
      <c r="E392" s="19" t="s">
        <v>737</v>
      </c>
      <c r="F392" s="9">
        <f>Source!AQ253</f>
        <v>0.2</v>
      </c>
      <c r="G392" s="21"/>
      <c r="H392" s="20" t="str">
        <f>Source!DI253</f>
        <v>)*2</v>
      </c>
      <c r="I392" s="9">
        <f>Source!AV253</f>
        <v>1</v>
      </c>
      <c r="J392" s="9"/>
      <c r="K392" s="21"/>
      <c r="L392" s="21">
        <f>Source!U253</f>
        <v>0.4</v>
      </c>
    </row>
    <row r="393" spans="1:16" ht="15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51">
        <f>K385+K386+K388+K389+K390+K391</f>
        <v>533.34</v>
      </c>
      <c r="K393" s="51"/>
      <c r="L393" s="24">
        <f>IF(Source!I253&lt;&gt;0, ROUND(J393/Source!I253, 2), 0)</f>
        <v>533.34</v>
      </c>
      <c r="P393" s="22">
        <f>J393</f>
        <v>533.34</v>
      </c>
    </row>
    <row r="395" spans="1:16" ht="15" x14ac:dyDescent="0.25">
      <c r="A395" s="54" t="str">
        <f>CONCATENATE("Итого по разделу: ",IF(Source!G262&lt;&gt;"Новый раздел", Source!G262, ""))</f>
        <v>Итого по разделу: Раздел: 3. Вентиляция и теплоснабжение приточных установок</v>
      </c>
      <c r="B395" s="54"/>
      <c r="C395" s="54"/>
      <c r="D395" s="54"/>
      <c r="E395" s="54"/>
      <c r="F395" s="54"/>
      <c r="G395" s="54"/>
      <c r="H395" s="54"/>
      <c r="I395" s="54"/>
      <c r="J395" s="53">
        <f>SUM(P349:P394)</f>
        <v>88769</v>
      </c>
      <c r="K395" s="71"/>
      <c r="L395" s="26"/>
    </row>
    <row r="398" spans="1:16" ht="16.5" x14ac:dyDescent="0.25">
      <c r="A398" s="50" t="str">
        <f>CONCATENATE("Раздел: ",IF(Source!G292&lt;&gt;"Новый раздел", Source!G292, ""))</f>
        <v>Раздел: Раздел: 4. Электроосвещение и электрооборудование</v>
      </c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</row>
    <row r="400" spans="1:16" ht="16.5" x14ac:dyDescent="0.25">
      <c r="A400" s="50" t="str">
        <f>CONCATENATE("Подраздел: ",IF(Source!G296&lt;&gt;"Новый подраздел", Source!G296, ""))</f>
        <v>Подраздел: 4.1 Электроосвещение и электрооборудование</v>
      </c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1:22" ht="57" x14ac:dyDescent="0.2">
      <c r="A401" s="18">
        <v>43</v>
      </c>
      <c r="B401" s="18">
        <v>43</v>
      </c>
      <c r="C401" s="18" t="str">
        <f>Source!F300</f>
        <v>1.21-2203-8-2/1</v>
      </c>
      <c r="D401" s="18" t="str">
        <f>Source!G300</f>
        <v>Техническое обслуживание ящика ввода распределительного с рубильником и предохранителями, номинальный ток 600 А</v>
      </c>
      <c r="E401" s="19" t="str">
        <f>Source!H300</f>
        <v>шт.</v>
      </c>
      <c r="F401" s="9">
        <f>Source!I300</f>
        <v>2</v>
      </c>
      <c r="G401" s="21"/>
      <c r="H401" s="20"/>
      <c r="I401" s="9"/>
      <c r="J401" s="9"/>
      <c r="K401" s="21"/>
      <c r="L401" s="21"/>
      <c r="Q401">
        <f>ROUND((Source!BZ300/100)*ROUND((Source!AF300*Source!AV300)*Source!I300, 2), 2)</f>
        <v>7780.37</v>
      </c>
      <c r="R401">
        <f>Source!X300</f>
        <v>7780.37</v>
      </c>
      <c r="S401">
        <f>ROUND((Source!CA300/100)*ROUND((Source!AF300*Source!AV300)*Source!I300, 2), 2)</f>
        <v>1111.48</v>
      </c>
      <c r="T401">
        <f>Source!Y300</f>
        <v>1111.48</v>
      </c>
      <c r="U401">
        <f>ROUND((175/100)*ROUND((Source!AE300*Source!AV300)*Source!I300, 2), 2)</f>
        <v>0</v>
      </c>
      <c r="V401">
        <f>ROUND((108/100)*ROUND(Source!CS300*Source!I300, 2), 2)</f>
        <v>0</v>
      </c>
    </row>
    <row r="402" spans="1:22" ht="14.25" x14ac:dyDescent="0.2">
      <c r="A402" s="18"/>
      <c r="B402" s="18"/>
      <c r="C402" s="18"/>
      <c r="D402" s="18" t="s">
        <v>731</v>
      </c>
      <c r="E402" s="19"/>
      <c r="F402" s="9"/>
      <c r="G402" s="21">
        <f>Source!AO300</f>
        <v>5557.41</v>
      </c>
      <c r="H402" s="20" t="str">
        <f>Source!DG300</f>
        <v/>
      </c>
      <c r="I402" s="9">
        <f>Source!AV300</f>
        <v>1</v>
      </c>
      <c r="J402" s="9">
        <f>IF(Source!BA300&lt;&gt; 0, Source!BA300, 1)</f>
        <v>1</v>
      </c>
      <c r="K402" s="21">
        <f>Source!S300</f>
        <v>11114.82</v>
      </c>
      <c r="L402" s="21"/>
    </row>
    <row r="403" spans="1:22" ht="14.25" x14ac:dyDescent="0.2">
      <c r="A403" s="18"/>
      <c r="B403" s="18"/>
      <c r="C403" s="18"/>
      <c r="D403" s="18" t="s">
        <v>732</v>
      </c>
      <c r="E403" s="19"/>
      <c r="F403" s="9"/>
      <c r="G403" s="21">
        <f>Source!AL300</f>
        <v>77.08</v>
      </c>
      <c r="H403" s="20" t="str">
        <f>Source!DD300</f>
        <v/>
      </c>
      <c r="I403" s="9">
        <f>Source!AW300</f>
        <v>1</v>
      </c>
      <c r="J403" s="9">
        <f>IF(Source!BC300&lt;&gt; 0, Source!BC300, 1)</f>
        <v>1</v>
      </c>
      <c r="K403" s="21">
        <f>Source!P300</f>
        <v>154.16</v>
      </c>
      <c r="L403" s="21"/>
    </row>
    <row r="404" spans="1:22" ht="14.25" x14ac:dyDescent="0.2">
      <c r="A404" s="18"/>
      <c r="B404" s="18"/>
      <c r="C404" s="18"/>
      <c r="D404" s="18" t="s">
        <v>733</v>
      </c>
      <c r="E404" s="19" t="s">
        <v>734</v>
      </c>
      <c r="F404" s="9">
        <f>Source!AT300</f>
        <v>70</v>
      </c>
      <c r="G404" s="21"/>
      <c r="H404" s="20"/>
      <c r="I404" s="9"/>
      <c r="J404" s="9"/>
      <c r="K404" s="21">
        <f>SUM(R401:R403)</f>
        <v>7780.37</v>
      </c>
      <c r="L404" s="21"/>
    </row>
    <row r="405" spans="1:22" ht="14.25" x14ac:dyDescent="0.2">
      <c r="A405" s="18"/>
      <c r="B405" s="18"/>
      <c r="C405" s="18"/>
      <c r="D405" s="18" t="s">
        <v>735</v>
      </c>
      <c r="E405" s="19" t="s">
        <v>734</v>
      </c>
      <c r="F405" s="9">
        <f>Source!AU300</f>
        <v>10</v>
      </c>
      <c r="G405" s="21"/>
      <c r="H405" s="20"/>
      <c r="I405" s="9"/>
      <c r="J405" s="9"/>
      <c r="K405" s="21">
        <f>SUM(T401:T404)</f>
        <v>1111.48</v>
      </c>
      <c r="L405" s="21"/>
    </row>
    <row r="406" spans="1:22" ht="14.25" x14ac:dyDescent="0.2">
      <c r="A406" s="18"/>
      <c r="B406" s="18"/>
      <c r="C406" s="18"/>
      <c r="D406" s="18" t="s">
        <v>736</v>
      </c>
      <c r="E406" s="19" t="s">
        <v>737</v>
      </c>
      <c r="F406" s="9">
        <f>Source!AQ300</f>
        <v>9</v>
      </c>
      <c r="G406" s="21"/>
      <c r="H406" s="20" t="str">
        <f>Source!DI300</f>
        <v/>
      </c>
      <c r="I406" s="9">
        <f>Source!AV300</f>
        <v>1</v>
      </c>
      <c r="J406" s="9"/>
      <c r="K406" s="21"/>
      <c r="L406" s="21">
        <f>Source!U300</f>
        <v>18</v>
      </c>
    </row>
    <row r="407" spans="1:22" ht="15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51">
        <f>K402+K403+K404+K405</f>
        <v>20160.829999999998</v>
      </c>
      <c r="K407" s="51"/>
      <c r="L407" s="24">
        <f>IF(Source!I300&lt;&gt;0, ROUND(J407/Source!I300, 2), 0)</f>
        <v>10080.42</v>
      </c>
      <c r="P407" s="22">
        <f>J407</f>
        <v>20160.829999999998</v>
      </c>
    </row>
    <row r="408" spans="1:22" ht="57" x14ac:dyDescent="0.2">
      <c r="A408" s="18">
        <v>44</v>
      </c>
      <c r="B408" s="18">
        <v>44</v>
      </c>
      <c r="C408" s="18" t="str">
        <f>Source!F304</f>
        <v>1.21-2203-2-3/1</v>
      </c>
      <c r="D408" s="18" t="str">
        <f>Source!G304</f>
        <v>Техническое обслуживание силового распределительного пункта с установочными автоматами, число групп 8 (РП1, РП2)</v>
      </c>
      <c r="E408" s="19" t="str">
        <f>Source!H304</f>
        <v>шт.</v>
      </c>
      <c r="F408" s="9">
        <f>Source!I304</f>
        <v>2</v>
      </c>
      <c r="G408" s="21"/>
      <c r="H408" s="20"/>
      <c r="I408" s="9"/>
      <c r="J408" s="9"/>
      <c r="K408" s="21"/>
      <c r="L408" s="21"/>
      <c r="Q408">
        <f>ROUND((Source!BZ304/100)*ROUND((Source!AF304*Source!AV304)*Source!I304, 2), 2)</f>
        <v>12967.29</v>
      </c>
      <c r="R408">
        <f>Source!X304</f>
        <v>12967.29</v>
      </c>
      <c r="S408">
        <f>ROUND((Source!CA304/100)*ROUND((Source!AF304*Source!AV304)*Source!I304, 2), 2)</f>
        <v>1852.47</v>
      </c>
      <c r="T408">
        <f>Source!Y304</f>
        <v>1852.47</v>
      </c>
      <c r="U408">
        <f>ROUND((175/100)*ROUND((Source!AE304*Source!AV304)*Source!I304, 2), 2)</f>
        <v>0</v>
      </c>
      <c r="V408">
        <f>ROUND((108/100)*ROUND(Source!CS304*Source!I304, 2), 2)</f>
        <v>0</v>
      </c>
    </row>
    <row r="409" spans="1:22" ht="14.25" x14ac:dyDescent="0.2">
      <c r="A409" s="18"/>
      <c r="B409" s="18"/>
      <c r="C409" s="18"/>
      <c r="D409" s="18" t="s">
        <v>731</v>
      </c>
      <c r="E409" s="19"/>
      <c r="F409" s="9"/>
      <c r="G409" s="21">
        <f>Source!AO304</f>
        <v>9262.35</v>
      </c>
      <c r="H409" s="20" t="str">
        <f>Source!DG304</f>
        <v/>
      </c>
      <c r="I409" s="9">
        <f>Source!AV304</f>
        <v>1</v>
      </c>
      <c r="J409" s="9">
        <f>IF(Source!BA304&lt;&gt; 0, Source!BA304, 1)</f>
        <v>1</v>
      </c>
      <c r="K409" s="21">
        <f>Source!S304</f>
        <v>18524.7</v>
      </c>
      <c r="L409" s="21"/>
    </row>
    <row r="410" spans="1:22" ht="14.25" x14ac:dyDescent="0.2">
      <c r="A410" s="18"/>
      <c r="B410" s="18"/>
      <c r="C410" s="18"/>
      <c r="D410" s="18" t="s">
        <v>732</v>
      </c>
      <c r="E410" s="19"/>
      <c r="F410" s="9"/>
      <c r="G410" s="21">
        <f>Source!AL304</f>
        <v>128.44999999999999</v>
      </c>
      <c r="H410" s="20" t="str">
        <f>Source!DD304</f>
        <v/>
      </c>
      <c r="I410" s="9">
        <f>Source!AW304</f>
        <v>1</v>
      </c>
      <c r="J410" s="9">
        <f>IF(Source!BC304&lt;&gt; 0, Source!BC304, 1)</f>
        <v>1</v>
      </c>
      <c r="K410" s="21">
        <f>Source!P304</f>
        <v>256.89999999999998</v>
      </c>
      <c r="L410" s="21"/>
    </row>
    <row r="411" spans="1:22" ht="14.25" x14ac:dyDescent="0.2">
      <c r="A411" s="18"/>
      <c r="B411" s="18"/>
      <c r="C411" s="18"/>
      <c r="D411" s="18" t="s">
        <v>733</v>
      </c>
      <c r="E411" s="19" t="s">
        <v>734</v>
      </c>
      <c r="F411" s="9">
        <f>Source!AT304</f>
        <v>70</v>
      </c>
      <c r="G411" s="21"/>
      <c r="H411" s="20"/>
      <c r="I411" s="9"/>
      <c r="J411" s="9"/>
      <c r="K411" s="21">
        <f>SUM(R408:R410)</f>
        <v>12967.29</v>
      </c>
      <c r="L411" s="21"/>
    </row>
    <row r="412" spans="1:22" ht="14.25" x14ac:dyDescent="0.2">
      <c r="A412" s="18"/>
      <c r="B412" s="18"/>
      <c r="C412" s="18"/>
      <c r="D412" s="18" t="s">
        <v>735</v>
      </c>
      <c r="E412" s="19" t="s">
        <v>734</v>
      </c>
      <c r="F412" s="9">
        <f>Source!AU304</f>
        <v>10</v>
      </c>
      <c r="G412" s="21"/>
      <c r="H412" s="20"/>
      <c r="I412" s="9"/>
      <c r="J412" s="9"/>
      <c r="K412" s="21">
        <f>SUM(T408:T411)</f>
        <v>1852.47</v>
      </c>
      <c r="L412" s="21"/>
    </row>
    <row r="413" spans="1:22" ht="14.25" x14ac:dyDescent="0.2">
      <c r="A413" s="18"/>
      <c r="B413" s="18"/>
      <c r="C413" s="18"/>
      <c r="D413" s="18" t="s">
        <v>736</v>
      </c>
      <c r="E413" s="19" t="s">
        <v>737</v>
      </c>
      <c r="F413" s="9">
        <f>Source!AQ304</f>
        <v>15</v>
      </c>
      <c r="G413" s="21"/>
      <c r="H413" s="20" t="str">
        <f>Source!DI304</f>
        <v/>
      </c>
      <c r="I413" s="9">
        <f>Source!AV304</f>
        <v>1</v>
      </c>
      <c r="J413" s="9"/>
      <c r="K413" s="21"/>
      <c r="L413" s="21">
        <f>Source!U304</f>
        <v>30</v>
      </c>
    </row>
    <row r="414" spans="1:22" ht="15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51">
        <f>K409+K410+K411+K412</f>
        <v>33601.360000000001</v>
      </c>
      <c r="K414" s="51"/>
      <c r="L414" s="24">
        <f>IF(Source!I304&lt;&gt;0, ROUND(J414/Source!I304, 2), 0)</f>
        <v>16800.68</v>
      </c>
      <c r="P414" s="22">
        <f>J414</f>
        <v>33601.360000000001</v>
      </c>
    </row>
    <row r="415" spans="1:22" ht="57" x14ac:dyDescent="0.2">
      <c r="A415" s="18">
        <v>45</v>
      </c>
      <c r="B415" s="18">
        <v>45</v>
      </c>
      <c r="C415" s="18" t="str">
        <f>Source!F306</f>
        <v>1.21-2203-2-5/1</v>
      </c>
      <c r="D415" s="18" t="str">
        <f>Source!G306</f>
        <v>Техническое обслуживание силового распределительного пункта с установочными автоматами, число групп 12</v>
      </c>
      <c r="E415" s="19" t="str">
        <f>Source!H306</f>
        <v>шт.</v>
      </c>
      <c r="F415" s="9">
        <f>Source!I306</f>
        <v>1</v>
      </c>
      <c r="G415" s="21"/>
      <c r="H415" s="20"/>
      <c r="I415" s="9"/>
      <c r="J415" s="9"/>
      <c r="K415" s="21"/>
      <c r="L415" s="21"/>
      <c r="Q415">
        <f>ROUND((Source!BZ306/100)*ROUND((Source!AF306*Source!AV306)*Source!I306, 2), 2)</f>
        <v>10373.83</v>
      </c>
      <c r="R415">
        <f>Source!X306</f>
        <v>10373.83</v>
      </c>
      <c r="S415">
        <f>ROUND((Source!CA306/100)*ROUND((Source!AF306*Source!AV306)*Source!I306, 2), 2)</f>
        <v>1481.98</v>
      </c>
      <c r="T415">
        <f>Source!Y306</f>
        <v>1481.98</v>
      </c>
      <c r="U415">
        <f>ROUND((175/100)*ROUND((Source!AE306*Source!AV306)*Source!I306, 2), 2)</f>
        <v>0</v>
      </c>
      <c r="V415">
        <f>ROUND((108/100)*ROUND(Source!CS306*Source!I306, 2), 2)</f>
        <v>0</v>
      </c>
    </row>
    <row r="416" spans="1:22" ht="14.25" x14ac:dyDescent="0.2">
      <c r="A416" s="18"/>
      <c r="B416" s="18"/>
      <c r="C416" s="18"/>
      <c r="D416" s="18" t="s">
        <v>731</v>
      </c>
      <c r="E416" s="19"/>
      <c r="F416" s="9"/>
      <c r="G416" s="21">
        <f>Source!AO306</f>
        <v>14819.76</v>
      </c>
      <c r="H416" s="20" t="str">
        <f>Source!DG306</f>
        <v/>
      </c>
      <c r="I416" s="9">
        <f>Source!AV306</f>
        <v>1</v>
      </c>
      <c r="J416" s="9">
        <f>IF(Source!BA306&lt;&gt; 0, Source!BA306, 1)</f>
        <v>1</v>
      </c>
      <c r="K416" s="21">
        <f>Source!S306</f>
        <v>14819.76</v>
      </c>
      <c r="L416" s="21"/>
    </row>
    <row r="417" spans="1:22" ht="14.25" x14ac:dyDescent="0.2">
      <c r="A417" s="18"/>
      <c r="B417" s="18"/>
      <c r="C417" s="18"/>
      <c r="D417" s="18" t="s">
        <v>732</v>
      </c>
      <c r="E417" s="19"/>
      <c r="F417" s="9"/>
      <c r="G417" s="21">
        <f>Source!AL306</f>
        <v>205.53</v>
      </c>
      <c r="H417" s="20" t="str">
        <f>Source!DD306</f>
        <v/>
      </c>
      <c r="I417" s="9">
        <f>Source!AW306</f>
        <v>1</v>
      </c>
      <c r="J417" s="9">
        <f>IF(Source!BC306&lt;&gt; 0, Source!BC306, 1)</f>
        <v>1</v>
      </c>
      <c r="K417" s="21">
        <f>Source!P306</f>
        <v>205.53</v>
      </c>
      <c r="L417" s="21"/>
    </row>
    <row r="418" spans="1:22" ht="14.25" x14ac:dyDescent="0.2">
      <c r="A418" s="18"/>
      <c r="B418" s="18"/>
      <c r="C418" s="18"/>
      <c r="D418" s="18" t="s">
        <v>733</v>
      </c>
      <c r="E418" s="19" t="s">
        <v>734</v>
      </c>
      <c r="F418" s="9">
        <f>Source!AT306</f>
        <v>70</v>
      </c>
      <c r="G418" s="21"/>
      <c r="H418" s="20"/>
      <c r="I418" s="9"/>
      <c r="J418" s="9"/>
      <c r="K418" s="21">
        <f>SUM(R415:R417)</f>
        <v>10373.83</v>
      </c>
      <c r="L418" s="21"/>
    </row>
    <row r="419" spans="1:22" ht="14.25" x14ac:dyDescent="0.2">
      <c r="A419" s="18"/>
      <c r="B419" s="18"/>
      <c r="C419" s="18"/>
      <c r="D419" s="18" t="s">
        <v>735</v>
      </c>
      <c r="E419" s="19" t="s">
        <v>734</v>
      </c>
      <c r="F419" s="9">
        <f>Source!AU306</f>
        <v>10</v>
      </c>
      <c r="G419" s="21"/>
      <c r="H419" s="20"/>
      <c r="I419" s="9"/>
      <c r="J419" s="9"/>
      <c r="K419" s="21">
        <f>SUM(T415:T418)</f>
        <v>1481.98</v>
      </c>
      <c r="L419" s="21"/>
    </row>
    <row r="420" spans="1:22" ht="14.25" x14ac:dyDescent="0.2">
      <c r="A420" s="18"/>
      <c r="B420" s="18"/>
      <c r="C420" s="18"/>
      <c r="D420" s="18" t="s">
        <v>736</v>
      </c>
      <c r="E420" s="19" t="s">
        <v>737</v>
      </c>
      <c r="F420" s="9">
        <f>Source!AQ306</f>
        <v>24</v>
      </c>
      <c r="G420" s="21"/>
      <c r="H420" s="20" t="str">
        <f>Source!DI306</f>
        <v/>
      </c>
      <c r="I420" s="9">
        <f>Source!AV306</f>
        <v>1</v>
      </c>
      <c r="J420" s="9"/>
      <c r="K420" s="21"/>
      <c r="L420" s="21">
        <f>Source!U306</f>
        <v>24</v>
      </c>
    </row>
    <row r="421" spans="1:22" ht="15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51">
        <f>K416+K417+K418+K419</f>
        <v>26881.100000000002</v>
      </c>
      <c r="K421" s="51"/>
      <c r="L421" s="24">
        <f>IF(Source!I306&lt;&gt;0, ROUND(J421/Source!I306, 2), 0)</f>
        <v>26881.1</v>
      </c>
      <c r="P421" s="22">
        <f>J421</f>
        <v>26881.100000000002</v>
      </c>
    </row>
    <row r="422" spans="1:22" ht="85.5" x14ac:dyDescent="0.2">
      <c r="A422" s="18">
        <v>46</v>
      </c>
      <c r="B422" s="18">
        <v>46</v>
      </c>
      <c r="C422" s="18" t="str">
        <f>Source!F308</f>
        <v>1.21-2203-37-1/1</v>
      </c>
      <c r="D422" s="18" t="str">
        <f>Source!G308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422" s="19" t="str">
        <f>Source!H308</f>
        <v>шт.</v>
      </c>
      <c r="F422" s="9">
        <f>Source!I308</f>
        <v>3</v>
      </c>
      <c r="G422" s="21"/>
      <c r="H422" s="20"/>
      <c r="I422" s="9"/>
      <c r="J422" s="9"/>
      <c r="K422" s="21"/>
      <c r="L422" s="21"/>
      <c r="Q422">
        <f>ROUND((Source!BZ308/100)*ROUND((Source!AF308*Source!AV308)*Source!I308, 2), 2)</f>
        <v>708.35</v>
      </c>
      <c r="R422">
        <f>Source!X308</f>
        <v>708.35</v>
      </c>
      <c r="S422">
        <f>ROUND((Source!CA308/100)*ROUND((Source!AF308*Source!AV308)*Source!I308, 2), 2)</f>
        <v>101.19</v>
      </c>
      <c r="T422">
        <f>Source!Y308</f>
        <v>101.19</v>
      </c>
      <c r="U422">
        <f>ROUND((175/100)*ROUND((Source!AE308*Source!AV308)*Source!I308, 2), 2)</f>
        <v>0</v>
      </c>
      <c r="V422">
        <f>ROUND((108/100)*ROUND(Source!CS308*Source!I308, 2), 2)</f>
        <v>0</v>
      </c>
    </row>
    <row r="423" spans="1:22" x14ac:dyDescent="0.2">
      <c r="D423" s="25" t="str">
        <f>"Объем: "&amp;Source!I308&amp;"=2+"&amp;"1"</f>
        <v>Объем: 3=2+1</v>
      </c>
    </row>
    <row r="424" spans="1:22" ht="14.25" x14ac:dyDescent="0.2">
      <c r="A424" s="18"/>
      <c r="B424" s="18"/>
      <c r="C424" s="18"/>
      <c r="D424" s="18" t="s">
        <v>731</v>
      </c>
      <c r="E424" s="19"/>
      <c r="F424" s="9"/>
      <c r="G424" s="21">
        <f>Source!AO308</f>
        <v>337.31</v>
      </c>
      <c r="H424" s="20" t="str">
        <f>Source!DG308</f>
        <v/>
      </c>
      <c r="I424" s="9">
        <f>Source!AV308</f>
        <v>1</v>
      </c>
      <c r="J424" s="9">
        <f>IF(Source!BA308&lt;&gt; 0, Source!BA308, 1)</f>
        <v>1</v>
      </c>
      <c r="K424" s="21">
        <f>Source!S308</f>
        <v>1011.93</v>
      </c>
      <c r="L424" s="21"/>
    </row>
    <row r="425" spans="1:22" ht="14.25" x14ac:dyDescent="0.2">
      <c r="A425" s="18"/>
      <c r="B425" s="18"/>
      <c r="C425" s="18"/>
      <c r="D425" s="18" t="s">
        <v>732</v>
      </c>
      <c r="E425" s="19"/>
      <c r="F425" s="9"/>
      <c r="G425" s="21">
        <f>Source!AL308</f>
        <v>1.57</v>
      </c>
      <c r="H425" s="20" t="str">
        <f>Source!DD308</f>
        <v/>
      </c>
      <c r="I425" s="9">
        <f>Source!AW308</f>
        <v>1</v>
      </c>
      <c r="J425" s="9">
        <f>IF(Source!BC308&lt;&gt; 0, Source!BC308, 1)</f>
        <v>1</v>
      </c>
      <c r="K425" s="21">
        <f>Source!P308</f>
        <v>4.71</v>
      </c>
      <c r="L425" s="21"/>
    </row>
    <row r="426" spans="1:22" ht="14.25" x14ac:dyDescent="0.2">
      <c r="A426" s="18"/>
      <c r="B426" s="18"/>
      <c r="C426" s="18"/>
      <c r="D426" s="18" t="s">
        <v>733</v>
      </c>
      <c r="E426" s="19" t="s">
        <v>734</v>
      </c>
      <c r="F426" s="9">
        <f>Source!AT308</f>
        <v>70</v>
      </c>
      <c r="G426" s="21"/>
      <c r="H426" s="20"/>
      <c r="I426" s="9"/>
      <c r="J426" s="9"/>
      <c r="K426" s="21">
        <f>SUM(R422:R425)</f>
        <v>708.35</v>
      </c>
      <c r="L426" s="21"/>
    </row>
    <row r="427" spans="1:22" ht="14.25" x14ac:dyDescent="0.2">
      <c r="A427" s="18"/>
      <c r="B427" s="18"/>
      <c r="C427" s="18"/>
      <c r="D427" s="18" t="s">
        <v>735</v>
      </c>
      <c r="E427" s="19" t="s">
        <v>734</v>
      </c>
      <c r="F427" s="9">
        <f>Source!AU308</f>
        <v>10</v>
      </c>
      <c r="G427" s="21"/>
      <c r="H427" s="20"/>
      <c r="I427" s="9"/>
      <c r="J427" s="9"/>
      <c r="K427" s="21">
        <f>SUM(T422:T426)</f>
        <v>101.19</v>
      </c>
      <c r="L427" s="21"/>
    </row>
    <row r="428" spans="1:22" ht="14.25" x14ac:dyDescent="0.2">
      <c r="A428" s="18"/>
      <c r="B428" s="18"/>
      <c r="C428" s="18"/>
      <c r="D428" s="18" t="s">
        <v>736</v>
      </c>
      <c r="E428" s="19" t="s">
        <v>737</v>
      </c>
      <c r="F428" s="9">
        <f>Source!AQ308</f>
        <v>0.6</v>
      </c>
      <c r="G428" s="21"/>
      <c r="H428" s="20" t="str">
        <f>Source!DI308</f>
        <v/>
      </c>
      <c r="I428" s="9">
        <f>Source!AV308</f>
        <v>1</v>
      </c>
      <c r="J428" s="9"/>
      <c r="K428" s="21"/>
      <c r="L428" s="21">
        <f>Source!U308</f>
        <v>1.7999999999999998</v>
      </c>
    </row>
    <row r="429" spans="1:22" ht="15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51">
        <f>K424+K425+K426+K427</f>
        <v>1826.18</v>
      </c>
      <c r="K429" s="51"/>
      <c r="L429" s="24">
        <f>IF(Source!I308&lt;&gt;0, ROUND(J429/Source!I308, 2), 0)</f>
        <v>608.73</v>
      </c>
      <c r="P429" s="22">
        <f>J429</f>
        <v>1826.18</v>
      </c>
    </row>
    <row r="430" spans="1:22" ht="42.75" x14ac:dyDescent="0.2">
      <c r="A430" s="18">
        <v>47</v>
      </c>
      <c r="B430" s="18">
        <v>47</v>
      </c>
      <c r="C430" s="18" t="str">
        <f>Source!F311</f>
        <v>1.21-2203-1-2/1</v>
      </c>
      <c r="D430" s="18" t="str">
        <f>Source!G311</f>
        <v>Техническое обслуживание распределительных коробок (щитков), с автоматами /Щит ЩУОК</v>
      </c>
      <c r="E430" s="19" t="str">
        <f>Source!H311</f>
        <v>шт.</v>
      </c>
      <c r="F430" s="9">
        <f>Source!I311</f>
        <v>1</v>
      </c>
      <c r="G430" s="21"/>
      <c r="H430" s="20"/>
      <c r="I430" s="9"/>
      <c r="J430" s="9"/>
      <c r="K430" s="21"/>
      <c r="L430" s="21"/>
      <c r="Q430">
        <f>ROUND((Source!BZ311/100)*ROUND((Source!AF311*Source!AV311)*Source!I311, 2), 2)</f>
        <v>1296.73</v>
      </c>
      <c r="R430">
        <f>Source!X311</f>
        <v>1296.73</v>
      </c>
      <c r="S430">
        <f>ROUND((Source!CA311/100)*ROUND((Source!AF311*Source!AV311)*Source!I311, 2), 2)</f>
        <v>185.25</v>
      </c>
      <c r="T430">
        <f>Source!Y311</f>
        <v>185.25</v>
      </c>
      <c r="U430">
        <f>ROUND((175/100)*ROUND((Source!AE311*Source!AV311)*Source!I311, 2), 2)</f>
        <v>0</v>
      </c>
      <c r="V430">
        <f>ROUND((108/100)*ROUND(Source!CS311*Source!I311, 2), 2)</f>
        <v>0</v>
      </c>
    </row>
    <row r="431" spans="1:22" ht="14.25" x14ac:dyDescent="0.2">
      <c r="A431" s="18"/>
      <c r="B431" s="18"/>
      <c r="C431" s="18"/>
      <c r="D431" s="18" t="s">
        <v>731</v>
      </c>
      <c r="E431" s="19"/>
      <c r="F431" s="9"/>
      <c r="G431" s="21">
        <f>Source!AO311</f>
        <v>1852.47</v>
      </c>
      <c r="H431" s="20" t="str">
        <f>Source!DG311</f>
        <v/>
      </c>
      <c r="I431" s="9">
        <f>Source!AV311</f>
        <v>1</v>
      </c>
      <c r="J431" s="9">
        <f>IF(Source!BA311&lt;&gt; 0, Source!BA311, 1)</f>
        <v>1</v>
      </c>
      <c r="K431" s="21">
        <f>Source!S311</f>
        <v>1852.47</v>
      </c>
      <c r="L431" s="21"/>
    </row>
    <row r="432" spans="1:22" ht="14.25" x14ac:dyDescent="0.2">
      <c r="A432" s="18"/>
      <c r="B432" s="18"/>
      <c r="C432" s="18"/>
      <c r="D432" s="18" t="s">
        <v>732</v>
      </c>
      <c r="E432" s="19"/>
      <c r="F432" s="9"/>
      <c r="G432" s="21">
        <f>Source!AL311</f>
        <v>25.69</v>
      </c>
      <c r="H432" s="20" t="str">
        <f>Source!DD311</f>
        <v/>
      </c>
      <c r="I432" s="9">
        <f>Source!AW311</f>
        <v>1</v>
      </c>
      <c r="J432" s="9">
        <f>IF(Source!BC311&lt;&gt; 0, Source!BC311, 1)</f>
        <v>1</v>
      </c>
      <c r="K432" s="21">
        <f>Source!P311</f>
        <v>25.69</v>
      </c>
      <c r="L432" s="21"/>
    </row>
    <row r="433" spans="1:22" ht="14.25" x14ac:dyDescent="0.2">
      <c r="A433" s="18"/>
      <c r="B433" s="18"/>
      <c r="C433" s="18"/>
      <c r="D433" s="18" t="s">
        <v>733</v>
      </c>
      <c r="E433" s="19" t="s">
        <v>734</v>
      </c>
      <c r="F433" s="9">
        <f>Source!AT311</f>
        <v>70</v>
      </c>
      <c r="G433" s="21"/>
      <c r="H433" s="20"/>
      <c r="I433" s="9"/>
      <c r="J433" s="9"/>
      <c r="K433" s="21">
        <f>SUM(R430:R432)</f>
        <v>1296.73</v>
      </c>
      <c r="L433" s="21"/>
    </row>
    <row r="434" spans="1:22" ht="14.25" x14ac:dyDescent="0.2">
      <c r="A434" s="18"/>
      <c r="B434" s="18"/>
      <c r="C434" s="18"/>
      <c r="D434" s="18" t="s">
        <v>735</v>
      </c>
      <c r="E434" s="19" t="s">
        <v>734</v>
      </c>
      <c r="F434" s="9">
        <f>Source!AU311</f>
        <v>10</v>
      </c>
      <c r="G434" s="21"/>
      <c r="H434" s="20"/>
      <c r="I434" s="9"/>
      <c r="J434" s="9"/>
      <c r="K434" s="21">
        <f>SUM(T430:T433)</f>
        <v>185.25</v>
      </c>
      <c r="L434" s="21"/>
    </row>
    <row r="435" spans="1:22" ht="14.25" x14ac:dyDescent="0.2">
      <c r="A435" s="18"/>
      <c r="B435" s="18"/>
      <c r="C435" s="18"/>
      <c r="D435" s="18" t="s">
        <v>736</v>
      </c>
      <c r="E435" s="19" t="s">
        <v>737</v>
      </c>
      <c r="F435" s="9">
        <f>Source!AQ311</f>
        <v>3</v>
      </c>
      <c r="G435" s="21"/>
      <c r="H435" s="20" t="str">
        <f>Source!DI311</f>
        <v/>
      </c>
      <c r="I435" s="9">
        <f>Source!AV311</f>
        <v>1</v>
      </c>
      <c r="J435" s="9"/>
      <c r="K435" s="21"/>
      <c r="L435" s="21">
        <f>Source!U311</f>
        <v>3</v>
      </c>
    </row>
    <row r="436" spans="1:22" ht="15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51">
        <f>K431+K432+K433+K434</f>
        <v>3360.1400000000003</v>
      </c>
      <c r="K436" s="51"/>
      <c r="L436" s="24">
        <f>IF(Source!I311&lt;&gt;0, ROUND(J436/Source!I311, 2), 0)</f>
        <v>3360.14</v>
      </c>
      <c r="P436" s="22">
        <f>J436</f>
        <v>3360.1400000000003</v>
      </c>
    </row>
    <row r="437" spans="1:22" ht="42.75" x14ac:dyDescent="0.2">
      <c r="A437" s="18">
        <v>48</v>
      </c>
      <c r="B437" s="18">
        <v>48</v>
      </c>
      <c r="C437" s="18" t="str">
        <f>Source!F314</f>
        <v>1.21-2303-18-1/1</v>
      </c>
      <c r="D437" s="18" t="str">
        <f>Source!G314</f>
        <v>Техническое обслуживание переключателя универсального, число секций до 8</v>
      </c>
      <c r="E437" s="19" t="str">
        <f>Source!H314</f>
        <v>шт.</v>
      </c>
      <c r="F437" s="9">
        <f>Source!I314</f>
        <v>2</v>
      </c>
      <c r="G437" s="21"/>
      <c r="H437" s="20"/>
      <c r="I437" s="9"/>
      <c r="J437" s="9"/>
      <c r="K437" s="21"/>
      <c r="L437" s="21"/>
      <c r="Q437">
        <f>ROUND((Source!BZ314/100)*ROUND((Source!AF314*Source!AV314)*Source!I314, 2), 2)</f>
        <v>259.35000000000002</v>
      </c>
      <c r="R437">
        <f>Source!X314</f>
        <v>259.35000000000002</v>
      </c>
      <c r="S437">
        <f>ROUND((Source!CA314/100)*ROUND((Source!AF314*Source!AV314)*Source!I314, 2), 2)</f>
        <v>37.049999999999997</v>
      </c>
      <c r="T437">
        <f>Source!Y314</f>
        <v>37.049999999999997</v>
      </c>
      <c r="U437">
        <f>ROUND((175/100)*ROUND((Source!AE314*Source!AV314)*Source!I314, 2), 2)</f>
        <v>0</v>
      </c>
      <c r="V437">
        <f>ROUND((108/100)*ROUND(Source!CS314*Source!I314, 2), 2)</f>
        <v>0</v>
      </c>
    </row>
    <row r="438" spans="1:22" ht="14.25" x14ac:dyDescent="0.2">
      <c r="A438" s="18"/>
      <c r="B438" s="18"/>
      <c r="C438" s="18"/>
      <c r="D438" s="18" t="s">
        <v>731</v>
      </c>
      <c r="E438" s="19"/>
      <c r="F438" s="9"/>
      <c r="G438" s="21">
        <f>Source!AO314</f>
        <v>185.25</v>
      </c>
      <c r="H438" s="20" t="str">
        <f>Source!DG314</f>
        <v/>
      </c>
      <c r="I438" s="9">
        <f>Source!AV314</f>
        <v>1</v>
      </c>
      <c r="J438" s="9">
        <f>IF(Source!BA314&lt;&gt; 0, Source!BA314, 1)</f>
        <v>1</v>
      </c>
      <c r="K438" s="21">
        <f>Source!S314</f>
        <v>370.5</v>
      </c>
      <c r="L438" s="21"/>
    </row>
    <row r="439" spans="1:22" ht="14.25" x14ac:dyDescent="0.2">
      <c r="A439" s="18"/>
      <c r="B439" s="18"/>
      <c r="C439" s="18"/>
      <c r="D439" s="18" t="s">
        <v>733</v>
      </c>
      <c r="E439" s="19" t="s">
        <v>734</v>
      </c>
      <c r="F439" s="9">
        <f>Source!AT314</f>
        <v>70</v>
      </c>
      <c r="G439" s="21"/>
      <c r="H439" s="20"/>
      <c r="I439" s="9"/>
      <c r="J439" s="9"/>
      <c r="K439" s="21">
        <f>SUM(R437:R438)</f>
        <v>259.35000000000002</v>
      </c>
      <c r="L439" s="21"/>
    </row>
    <row r="440" spans="1:22" ht="14.25" x14ac:dyDescent="0.2">
      <c r="A440" s="18"/>
      <c r="B440" s="18"/>
      <c r="C440" s="18"/>
      <c r="D440" s="18" t="s">
        <v>735</v>
      </c>
      <c r="E440" s="19" t="s">
        <v>734</v>
      </c>
      <c r="F440" s="9">
        <f>Source!AU314</f>
        <v>10</v>
      </c>
      <c r="G440" s="21"/>
      <c r="H440" s="20"/>
      <c r="I440" s="9"/>
      <c r="J440" s="9"/>
      <c r="K440" s="21">
        <f>SUM(T437:T439)</f>
        <v>37.049999999999997</v>
      </c>
      <c r="L440" s="21"/>
    </row>
    <row r="441" spans="1:22" ht="14.25" x14ac:dyDescent="0.2">
      <c r="A441" s="18"/>
      <c r="B441" s="18"/>
      <c r="C441" s="18"/>
      <c r="D441" s="18" t="s">
        <v>736</v>
      </c>
      <c r="E441" s="19" t="s">
        <v>737</v>
      </c>
      <c r="F441" s="9">
        <f>Source!AQ314</f>
        <v>0.3</v>
      </c>
      <c r="G441" s="21"/>
      <c r="H441" s="20" t="str">
        <f>Source!DI314</f>
        <v/>
      </c>
      <c r="I441" s="9">
        <f>Source!AV314</f>
        <v>1</v>
      </c>
      <c r="J441" s="9"/>
      <c r="K441" s="21"/>
      <c r="L441" s="21">
        <f>Source!U314</f>
        <v>0.6</v>
      </c>
    </row>
    <row r="442" spans="1:22" ht="15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51">
        <f>K438+K439+K440</f>
        <v>666.9</v>
      </c>
      <c r="K442" s="51"/>
      <c r="L442" s="24">
        <f>IF(Source!I314&lt;&gt;0, ROUND(J442/Source!I314, 2), 0)</f>
        <v>333.45</v>
      </c>
      <c r="P442" s="22">
        <f>J442</f>
        <v>666.9</v>
      </c>
    </row>
    <row r="443" spans="1:22" ht="28.5" x14ac:dyDescent="0.2">
      <c r="A443" s="18">
        <v>49</v>
      </c>
      <c r="B443" s="18">
        <v>49</v>
      </c>
      <c r="C443" s="18" t="str">
        <f>Source!F316</f>
        <v>1.21-2203-27-1/1</v>
      </c>
      <c r="D443" s="18" t="str">
        <f>Source!G316</f>
        <v>Техническое обслуживание контакторов номинальный ток до 160 А</v>
      </c>
      <c r="E443" s="19" t="str">
        <f>Source!H316</f>
        <v>шт.</v>
      </c>
      <c r="F443" s="9">
        <f>Source!I316</f>
        <v>7</v>
      </c>
      <c r="G443" s="21"/>
      <c r="H443" s="20"/>
      <c r="I443" s="9"/>
      <c r="J443" s="9"/>
      <c r="K443" s="21"/>
      <c r="L443" s="21"/>
      <c r="Q443">
        <f>ROUND((Source!BZ316/100)*ROUND((Source!AF316*Source!AV316)*Source!I316, 2), 2)</f>
        <v>1210.3</v>
      </c>
      <c r="R443">
        <f>Source!X316</f>
        <v>1210.3</v>
      </c>
      <c r="S443">
        <f>ROUND((Source!CA316/100)*ROUND((Source!AF316*Source!AV316)*Source!I316, 2), 2)</f>
        <v>172.9</v>
      </c>
      <c r="T443">
        <f>Source!Y316</f>
        <v>172.9</v>
      </c>
      <c r="U443">
        <f>ROUND((175/100)*ROUND((Source!AE316*Source!AV316)*Source!I316, 2), 2)</f>
        <v>0</v>
      </c>
      <c r="V443">
        <f>ROUND((108/100)*ROUND(Source!CS316*Source!I316, 2), 2)</f>
        <v>0</v>
      </c>
    </row>
    <row r="444" spans="1:22" ht="14.25" x14ac:dyDescent="0.2">
      <c r="A444" s="18"/>
      <c r="B444" s="18"/>
      <c r="C444" s="18"/>
      <c r="D444" s="18" t="s">
        <v>731</v>
      </c>
      <c r="E444" s="19"/>
      <c r="F444" s="9"/>
      <c r="G444" s="21">
        <f>Source!AO316</f>
        <v>247</v>
      </c>
      <c r="H444" s="20" t="str">
        <f>Source!DG316</f>
        <v/>
      </c>
      <c r="I444" s="9">
        <f>Source!AV316</f>
        <v>1</v>
      </c>
      <c r="J444" s="9">
        <f>IF(Source!BA316&lt;&gt; 0, Source!BA316, 1)</f>
        <v>1</v>
      </c>
      <c r="K444" s="21">
        <f>Source!S316</f>
        <v>1729</v>
      </c>
      <c r="L444" s="21"/>
    </row>
    <row r="445" spans="1:22" ht="14.25" x14ac:dyDescent="0.2">
      <c r="A445" s="18"/>
      <c r="B445" s="18"/>
      <c r="C445" s="18"/>
      <c r="D445" s="18" t="s">
        <v>732</v>
      </c>
      <c r="E445" s="19"/>
      <c r="F445" s="9"/>
      <c r="G445" s="21">
        <f>Source!AL316</f>
        <v>19.309999999999999</v>
      </c>
      <c r="H445" s="20" t="str">
        <f>Source!DD316</f>
        <v/>
      </c>
      <c r="I445" s="9">
        <f>Source!AW316</f>
        <v>1</v>
      </c>
      <c r="J445" s="9">
        <f>IF(Source!BC316&lt;&gt; 0, Source!BC316, 1)</f>
        <v>1</v>
      </c>
      <c r="K445" s="21">
        <f>Source!P316</f>
        <v>135.16999999999999</v>
      </c>
      <c r="L445" s="21"/>
    </row>
    <row r="446" spans="1:22" ht="14.25" x14ac:dyDescent="0.2">
      <c r="A446" s="18"/>
      <c r="B446" s="18"/>
      <c r="C446" s="18"/>
      <c r="D446" s="18" t="s">
        <v>733</v>
      </c>
      <c r="E446" s="19" t="s">
        <v>734</v>
      </c>
      <c r="F446" s="9">
        <f>Source!AT316</f>
        <v>70</v>
      </c>
      <c r="G446" s="21"/>
      <c r="H446" s="20"/>
      <c r="I446" s="9"/>
      <c r="J446" s="9"/>
      <c r="K446" s="21">
        <f>SUM(R443:R445)</f>
        <v>1210.3</v>
      </c>
      <c r="L446" s="21"/>
    </row>
    <row r="447" spans="1:22" ht="14.25" x14ac:dyDescent="0.2">
      <c r="A447" s="18"/>
      <c r="B447" s="18"/>
      <c r="C447" s="18"/>
      <c r="D447" s="18" t="s">
        <v>735</v>
      </c>
      <c r="E447" s="19" t="s">
        <v>734</v>
      </c>
      <c r="F447" s="9">
        <f>Source!AU316</f>
        <v>10</v>
      </c>
      <c r="G447" s="21"/>
      <c r="H447" s="20"/>
      <c r="I447" s="9"/>
      <c r="J447" s="9"/>
      <c r="K447" s="21">
        <f>SUM(T443:T446)</f>
        <v>172.9</v>
      </c>
      <c r="L447" s="21"/>
    </row>
    <row r="448" spans="1:22" ht="14.25" x14ac:dyDescent="0.2">
      <c r="A448" s="18"/>
      <c r="B448" s="18"/>
      <c r="C448" s="18"/>
      <c r="D448" s="18" t="s">
        <v>736</v>
      </c>
      <c r="E448" s="19" t="s">
        <v>737</v>
      </c>
      <c r="F448" s="9">
        <f>Source!AQ316</f>
        <v>0.4</v>
      </c>
      <c r="G448" s="21"/>
      <c r="H448" s="20" t="str">
        <f>Source!DI316</f>
        <v/>
      </c>
      <c r="I448" s="9">
        <f>Source!AV316</f>
        <v>1</v>
      </c>
      <c r="J448" s="9"/>
      <c r="K448" s="21"/>
      <c r="L448" s="21">
        <f>Source!U316</f>
        <v>2.8000000000000003</v>
      </c>
    </row>
    <row r="449" spans="1:22" ht="15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51">
        <f>K444+K445+K446+K447</f>
        <v>3247.3700000000003</v>
      </c>
      <c r="K449" s="51"/>
      <c r="L449" s="24">
        <f>IF(Source!I316&lt;&gt;0, ROUND(J449/Source!I316, 2), 0)</f>
        <v>463.91</v>
      </c>
      <c r="P449" s="22">
        <f>J449</f>
        <v>3247.3700000000003</v>
      </c>
    </row>
    <row r="450" spans="1:22" ht="42.75" x14ac:dyDescent="0.2">
      <c r="A450" s="18">
        <v>50</v>
      </c>
      <c r="B450" s="18">
        <v>50</v>
      </c>
      <c r="C450" s="18" t="str">
        <f>Source!F317</f>
        <v>1.23-2203-3-1/1</v>
      </c>
      <c r="D450" s="18" t="str">
        <f>Source!G317</f>
        <v>Техническое обслуживание светосигнальной арматуры с лампой накаливания, светодиодом</v>
      </c>
      <c r="E450" s="19" t="str">
        <f>Source!H317</f>
        <v>10 шт.</v>
      </c>
      <c r="F450" s="9">
        <f>Source!I317</f>
        <v>0.3</v>
      </c>
      <c r="G450" s="21"/>
      <c r="H450" s="20"/>
      <c r="I450" s="9"/>
      <c r="J450" s="9"/>
      <c r="K450" s="21"/>
      <c r="L450" s="21"/>
      <c r="Q450">
        <f>ROUND((Source!BZ317/100)*ROUND((Source!AF317*Source!AV317)*Source!I317, 2), 2)</f>
        <v>357.67</v>
      </c>
      <c r="R450">
        <f>Source!X317</f>
        <v>357.67</v>
      </c>
      <c r="S450">
        <f>ROUND((Source!CA317/100)*ROUND((Source!AF317*Source!AV317)*Source!I317, 2), 2)</f>
        <v>51.1</v>
      </c>
      <c r="T450">
        <f>Source!Y317</f>
        <v>51.1</v>
      </c>
      <c r="U450">
        <f>ROUND((175/100)*ROUND((Source!AE317*Source!AV317)*Source!I317, 2), 2)</f>
        <v>0</v>
      </c>
      <c r="V450">
        <f>ROUND((108/100)*ROUND(Source!CS317*Source!I317, 2), 2)</f>
        <v>0</v>
      </c>
    </row>
    <row r="451" spans="1:22" x14ac:dyDescent="0.2">
      <c r="D451" s="25" t="str">
        <f>"Объем: "&amp;Source!I317&amp;"=(3)/"&amp;"10"</f>
        <v>Объем: 0,3=(3)/10</v>
      </c>
    </row>
    <row r="452" spans="1:22" ht="14.25" x14ac:dyDescent="0.2">
      <c r="A452" s="18"/>
      <c r="B452" s="18"/>
      <c r="C452" s="18"/>
      <c r="D452" s="18" t="s">
        <v>731</v>
      </c>
      <c r="E452" s="19"/>
      <c r="F452" s="9"/>
      <c r="G452" s="21">
        <f>Source!AO317</f>
        <v>1703.18</v>
      </c>
      <c r="H452" s="20" t="str">
        <f>Source!DG317</f>
        <v/>
      </c>
      <c r="I452" s="9">
        <f>Source!AV317</f>
        <v>1</v>
      </c>
      <c r="J452" s="9">
        <f>IF(Source!BA317&lt;&gt; 0, Source!BA317, 1)</f>
        <v>1</v>
      </c>
      <c r="K452" s="21">
        <f>Source!S317</f>
        <v>510.95</v>
      </c>
      <c r="L452" s="21"/>
    </row>
    <row r="453" spans="1:22" ht="14.25" x14ac:dyDescent="0.2">
      <c r="A453" s="18"/>
      <c r="B453" s="18"/>
      <c r="C453" s="18"/>
      <c r="D453" s="18" t="s">
        <v>732</v>
      </c>
      <c r="E453" s="19"/>
      <c r="F453" s="9"/>
      <c r="G453" s="21">
        <f>Source!AL317</f>
        <v>80.67</v>
      </c>
      <c r="H453" s="20" t="str">
        <f>Source!DD317</f>
        <v/>
      </c>
      <c r="I453" s="9">
        <f>Source!AW317</f>
        <v>1</v>
      </c>
      <c r="J453" s="9">
        <f>IF(Source!BC317&lt;&gt; 0, Source!BC317, 1)</f>
        <v>1</v>
      </c>
      <c r="K453" s="21">
        <f>Source!P317</f>
        <v>24.2</v>
      </c>
      <c r="L453" s="21"/>
    </row>
    <row r="454" spans="1:22" ht="14.25" x14ac:dyDescent="0.2">
      <c r="A454" s="18"/>
      <c r="B454" s="18"/>
      <c r="C454" s="18"/>
      <c r="D454" s="18" t="s">
        <v>733</v>
      </c>
      <c r="E454" s="19" t="s">
        <v>734</v>
      </c>
      <c r="F454" s="9">
        <f>Source!AT317</f>
        <v>70</v>
      </c>
      <c r="G454" s="21"/>
      <c r="H454" s="20"/>
      <c r="I454" s="9"/>
      <c r="J454" s="9"/>
      <c r="K454" s="21">
        <f>SUM(R450:R453)</f>
        <v>357.67</v>
      </c>
      <c r="L454" s="21"/>
    </row>
    <row r="455" spans="1:22" ht="14.25" x14ac:dyDescent="0.2">
      <c r="A455" s="18"/>
      <c r="B455" s="18"/>
      <c r="C455" s="18"/>
      <c r="D455" s="18" t="s">
        <v>735</v>
      </c>
      <c r="E455" s="19" t="s">
        <v>734</v>
      </c>
      <c r="F455" s="9">
        <f>Source!AU317</f>
        <v>10</v>
      </c>
      <c r="G455" s="21"/>
      <c r="H455" s="20"/>
      <c r="I455" s="9"/>
      <c r="J455" s="9"/>
      <c r="K455" s="21">
        <f>SUM(T450:T454)</f>
        <v>51.1</v>
      </c>
      <c r="L455" s="21"/>
    </row>
    <row r="456" spans="1:22" ht="14.25" x14ac:dyDescent="0.2">
      <c r="A456" s="18"/>
      <c r="B456" s="18"/>
      <c r="C456" s="18"/>
      <c r="D456" s="18" t="s">
        <v>736</v>
      </c>
      <c r="E456" s="19" t="s">
        <v>737</v>
      </c>
      <c r="F456" s="9">
        <f>Source!AQ317</f>
        <v>2.4</v>
      </c>
      <c r="G456" s="21"/>
      <c r="H456" s="20" t="str">
        <f>Source!DI317</f>
        <v/>
      </c>
      <c r="I456" s="9">
        <f>Source!AV317</f>
        <v>1</v>
      </c>
      <c r="J456" s="9"/>
      <c r="K456" s="21"/>
      <c r="L456" s="21">
        <f>Source!U317</f>
        <v>0.72</v>
      </c>
    </row>
    <row r="457" spans="1:22" ht="15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51">
        <f>K452+K453+K454+K455</f>
        <v>943.92</v>
      </c>
      <c r="K457" s="51"/>
      <c r="L457" s="24">
        <f>IF(Source!I317&lt;&gt;0, ROUND(J457/Source!I317, 2), 0)</f>
        <v>3146.4</v>
      </c>
      <c r="P457" s="22">
        <f>J457</f>
        <v>943.92</v>
      </c>
    </row>
    <row r="459" spans="1:22" ht="15" x14ac:dyDescent="0.25">
      <c r="A459" s="54" t="str">
        <f>CONCATENATE("Итого по подразделу: ",IF(Source!G319&lt;&gt;"Новый подраздел", Source!G319, ""))</f>
        <v>Итого по подразделу: 4.1 Электроосвещение и электрооборудование</v>
      </c>
      <c r="B459" s="54"/>
      <c r="C459" s="54"/>
      <c r="D459" s="54"/>
      <c r="E459" s="54"/>
      <c r="F459" s="54"/>
      <c r="G459" s="54"/>
      <c r="H459" s="54"/>
      <c r="I459" s="54"/>
      <c r="J459" s="53">
        <f>SUM(P400:P458)</f>
        <v>90687.799999999988</v>
      </c>
      <c r="K459" s="71"/>
      <c r="L459" s="26"/>
    </row>
    <row r="462" spans="1:22" ht="16.5" x14ac:dyDescent="0.25">
      <c r="A462" s="50" t="str">
        <f>CONCATENATE("Подраздел: ",IF(Source!G349&lt;&gt;"Новый подраздел", Source!G349, ""))</f>
        <v>Подраздел: 4.2  Система молниезащиты и заземления</v>
      </c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</row>
    <row r="464" spans="1:22" ht="15" x14ac:dyDescent="0.25">
      <c r="A464" s="54" t="str">
        <f>CONCATENATE("Итого по подразделу: ",IF(Source!G356&lt;&gt;"Новый подраздел", Source!G356, ""))</f>
        <v>Итого по подразделу: 4.2  Система молниезащиты и заземления</v>
      </c>
      <c r="B464" s="54"/>
      <c r="C464" s="54"/>
      <c r="D464" s="54"/>
      <c r="E464" s="54"/>
      <c r="F464" s="54"/>
      <c r="G464" s="54"/>
      <c r="H464" s="54"/>
      <c r="I464" s="54"/>
      <c r="J464" s="53">
        <f>SUM(P462:P463)</f>
        <v>0</v>
      </c>
      <c r="K464" s="71"/>
      <c r="L464" s="26"/>
    </row>
    <row r="467" spans="1:22" ht="16.5" x14ac:dyDescent="0.25">
      <c r="A467" s="50" t="str">
        <f>CONCATENATE("Подраздел: ",IF(Source!G386&lt;&gt;"Новый подраздел", Source!G386, ""))</f>
        <v>Подраздел: 4.3  Осветительное оборудование</v>
      </c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1:22" ht="179.25" x14ac:dyDescent="0.2">
      <c r="A468" s="18">
        <v>51</v>
      </c>
      <c r="B468" s="18">
        <v>51</v>
      </c>
      <c r="C468" s="18" t="s">
        <v>741</v>
      </c>
      <c r="D468" s="18" t="s">
        <v>742</v>
      </c>
      <c r="E468" s="19" t="str">
        <f>Source!H390</f>
        <v>шт.</v>
      </c>
      <c r="F468" s="9">
        <f>Source!I390</f>
        <v>432</v>
      </c>
      <c r="G468" s="21"/>
      <c r="H468" s="20"/>
      <c r="I468" s="9"/>
      <c r="J468" s="9"/>
      <c r="K468" s="21"/>
      <c r="L468" s="21"/>
      <c r="Q468">
        <f>ROUND((Source!BZ390/100)*ROUND((Source!AF390*Source!AV390)*Source!I390, 2), 2)</f>
        <v>53039.75</v>
      </c>
      <c r="R468">
        <f>Source!X390</f>
        <v>53039.75</v>
      </c>
      <c r="S468">
        <f>ROUND((Source!CA390/100)*ROUND((Source!AF390*Source!AV390)*Source!I390, 2), 2)</f>
        <v>7577.11</v>
      </c>
      <c r="T468">
        <f>Source!Y390</f>
        <v>7577.11</v>
      </c>
      <c r="U468">
        <f>ROUND((175/100)*ROUND((Source!AE390*Source!AV390)*Source!I390, 2), 2)</f>
        <v>0</v>
      </c>
      <c r="V468">
        <f>ROUND((108/100)*ROUND(Source!CS390*Source!I390, 2), 2)</f>
        <v>0</v>
      </c>
    </row>
    <row r="469" spans="1:22" x14ac:dyDescent="0.2">
      <c r="D469" s="25" t="str">
        <f>"Объем: "&amp;Source!I390&amp;"=378+"&amp;"54"</f>
        <v>Объем: 432=378+54</v>
      </c>
    </row>
    <row r="470" spans="1:22" ht="14.25" x14ac:dyDescent="0.2">
      <c r="A470" s="18"/>
      <c r="B470" s="18"/>
      <c r="C470" s="18"/>
      <c r="D470" s="18" t="s">
        <v>731</v>
      </c>
      <c r="E470" s="19"/>
      <c r="F470" s="9"/>
      <c r="G470" s="21">
        <f>Source!AO390</f>
        <v>168.65</v>
      </c>
      <c r="H470" s="20" t="str">
        <f>Source!DG390</f>
        <v>)*1,04</v>
      </c>
      <c r="I470" s="9">
        <f>Source!AV390</f>
        <v>1</v>
      </c>
      <c r="J470" s="9">
        <f>IF(Source!BA390&lt;&gt; 0, Source!BA390, 1)</f>
        <v>1</v>
      </c>
      <c r="K470" s="21">
        <f>Source!S390</f>
        <v>75771.070000000007</v>
      </c>
      <c r="L470" s="21"/>
    </row>
    <row r="471" spans="1:22" ht="14.25" x14ac:dyDescent="0.2">
      <c r="A471" s="18"/>
      <c r="B471" s="18"/>
      <c r="C471" s="18"/>
      <c r="D471" s="18" t="s">
        <v>732</v>
      </c>
      <c r="E471" s="19"/>
      <c r="F471" s="9"/>
      <c r="G471" s="21">
        <f>Source!AL390</f>
        <v>0.63</v>
      </c>
      <c r="H471" s="20" t="str">
        <f>Source!DD390</f>
        <v/>
      </c>
      <c r="I471" s="9">
        <f>Source!AW390</f>
        <v>1</v>
      </c>
      <c r="J471" s="9">
        <f>IF(Source!BC390&lt;&gt; 0, Source!BC390, 1)</f>
        <v>1</v>
      </c>
      <c r="K471" s="21">
        <f>Source!P390</f>
        <v>272.16000000000003</v>
      </c>
      <c r="L471" s="21"/>
    </row>
    <row r="472" spans="1:22" ht="14.25" x14ac:dyDescent="0.2">
      <c r="A472" s="18"/>
      <c r="B472" s="18"/>
      <c r="C472" s="18"/>
      <c r="D472" s="18" t="s">
        <v>733</v>
      </c>
      <c r="E472" s="19" t="s">
        <v>734</v>
      </c>
      <c r="F472" s="9">
        <f>Source!AT390</f>
        <v>70</v>
      </c>
      <c r="G472" s="21"/>
      <c r="H472" s="20"/>
      <c r="I472" s="9"/>
      <c r="J472" s="9"/>
      <c r="K472" s="21">
        <f>SUM(R468:R471)</f>
        <v>53039.75</v>
      </c>
      <c r="L472" s="21"/>
    </row>
    <row r="473" spans="1:22" ht="14.25" x14ac:dyDescent="0.2">
      <c r="A473" s="18"/>
      <c r="B473" s="18"/>
      <c r="C473" s="18"/>
      <c r="D473" s="18" t="s">
        <v>735</v>
      </c>
      <c r="E473" s="19" t="s">
        <v>734</v>
      </c>
      <c r="F473" s="9">
        <f>Source!AU390</f>
        <v>10</v>
      </c>
      <c r="G473" s="21"/>
      <c r="H473" s="20"/>
      <c r="I473" s="9"/>
      <c r="J473" s="9"/>
      <c r="K473" s="21">
        <f>SUM(T468:T472)</f>
        <v>7577.11</v>
      </c>
      <c r="L473" s="21"/>
    </row>
    <row r="474" spans="1:22" ht="14.25" x14ac:dyDescent="0.2">
      <c r="A474" s="18"/>
      <c r="B474" s="18"/>
      <c r="C474" s="18"/>
      <c r="D474" s="18" t="s">
        <v>736</v>
      </c>
      <c r="E474" s="19" t="s">
        <v>737</v>
      </c>
      <c r="F474" s="9">
        <f>Source!AQ390</f>
        <v>0.3</v>
      </c>
      <c r="G474" s="21"/>
      <c r="H474" s="20" t="str">
        <f>Source!DI390</f>
        <v>)*1,04</v>
      </c>
      <c r="I474" s="9">
        <f>Source!AV390</f>
        <v>1</v>
      </c>
      <c r="J474" s="9"/>
      <c r="K474" s="21"/>
      <c r="L474" s="21">
        <f>Source!U390</f>
        <v>134.78399999999999</v>
      </c>
    </row>
    <row r="475" spans="1:22" ht="15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51">
        <f>K470+K471+K472+K473</f>
        <v>136660.09</v>
      </c>
      <c r="K475" s="51"/>
      <c r="L475" s="24">
        <f>IF(Source!I390&lt;&gt;0, ROUND(J475/Source!I390, 2), 0)</f>
        <v>316.33999999999997</v>
      </c>
      <c r="P475" s="22">
        <f>J475</f>
        <v>136660.09</v>
      </c>
    </row>
    <row r="476" spans="1:22" ht="71.25" x14ac:dyDescent="0.2">
      <c r="A476" s="18">
        <v>52</v>
      </c>
      <c r="B476" s="18">
        <v>52</v>
      </c>
      <c r="C476" s="18" t="str">
        <f>Source!F391</f>
        <v>1.20-2103-19-3/1</v>
      </c>
      <c r="D476" s="18" t="str">
        <f>Source!G391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E476" s="19" t="str">
        <f>Source!H391</f>
        <v>шт.</v>
      </c>
      <c r="F476" s="9">
        <f>Source!I391</f>
        <v>40</v>
      </c>
      <c r="G476" s="21"/>
      <c r="H476" s="20"/>
      <c r="I476" s="9"/>
      <c r="J476" s="9"/>
      <c r="K476" s="21"/>
      <c r="L476" s="21"/>
      <c r="Q476">
        <f>ROUND((Source!BZ391/100)*ROUND((Source!AF391*Source!AV391)*Source!I391, 2), 2)</f>
        <v>7555.52</v>
      </c>
      <c r="R476">
        <f>Source!X391</f>
        <v>7555.52</v>
      </c>
      <c r="S476">
        <f>ROUND((Source!CA391/100)*ROUND((Source!AF391*Source!AV391)*Source!I391, 2), 2)</f>
        <v>1079.3599999999999</v>
      </c>
      <c r="T476">
        <f>Source!Y391</f>
        <v>1079.3599999999999</v>
      </c>
      <c r="U476">
        <f>ROUND((175/100)*ROUND((Source!AE391*Source!AV391)*Source!I391, 2), 2)</f>
        <v>0</v>
      </c>
      <c r="V476">
        <f>ROUND((108/100)*ROUND(Source!CS391*Source!I391, 2), 2)</f>
        <v>0</v>
      </c>
    </row>
    <row r="477" spans="1:22" x14ac:dyDescent="0.2">
      <c r="D477" s="25" t="str">
        <f>"Объем: "&amp;Source!I391&amp;"=35+"&amp;"5"</f>
        <v>Объем: 40=35+5</v>
      </c>
    </row>
    <row r="478" spans="1:22" ht="14.25" x14ac:dyDescent="0.2">
      <c r="A478" s="18"/>
      <c r="B478" s="18"/>
      <c r="C478" s="18"/>
      <c r="D478" s="18" t="s">
        <v>731</v>
      </c>
      <c r="E478" s="19"/>
      <c r="F478" s="9"/>
      <c r="G478" s="21">
        <f>Source!AO391</f>
        <v>269.83999999999997</v>
      </c>
      <c r="H478" s="20" t="str">
        <f>Source!DG391</f>
        <v/>
      </c>
      <c r="I478" s="9">
        <f>Source!AV391</f>
        <v>1</v>
      </c>
      <c r="J478" s="9">
        <f>IF(Source!BA391&lt;&gt; 0, Source!BA391, 1)</f>
        <v>1</v>
      </c>
      <c r="K478" s="21">
        <f>Source!S391</f>
        <v>10793.6</v>
      </c>
      <c r="L478" s="21"/>
    </row>
    <row r="479" spans="1:22" ht="14.25" x14ac:dyDescent="0.2">
      <c r="A479" s="18"/>
      <c r="B479" s="18"/>
      <c r="C479" s="18"/>
      <c r="D479" s="18" t="s">
        <v>732</v>
      </c>
      <c r="E479" s="19"/>
      <c r="F479" s="9"/>
      <c r="G479" s="21">
        <f>Source!AL391</f>
        <v>1.57</v>
      </c>
      <c r="H479" s="20" t="str">
        <f>Source!DD391</f>
        <v/>
      </c>
      <c r="I479" s="9">
        <f>Source!AW391</f>
        <v>1</v>
      </c>
      <c r="J479" s="9">
        <f>IF(Source!BC391&lt;&gt; 0, Source!BC391, 1)</f>
        <v>1</v>
      </c>
      <c r="K479" s="21">
        <f>Source!P391</f>
        <v>62.8</v>
      </c>
      <c r="L479" s="21"/>
    </row>
    <row r="480" spans="1:22" ht="14.25" x14ac:dyDescent="0.2">
      <c r="A480" s="18"/>
      <c r="B480" s="18"/>
      <c r="C480" s="18"/>
      <c r="D480" s="18" t="s">
        <v>733</v>
      </c>
      <c r="E480" s="19" t="s">
        <v>734</v>
      </c>
      <c r="F480" s="9">
        <f>Source!AT391</f>
        <v>70</v>
      </c>
      <c r="G480" s="21"/>
      <c r="H480" s="20"/>
      <c r="I480" s="9"/>
      <c r="J480" s="9"/>
      <c r="K480" s="21">
        <f>SUM(R476:R479)</f>
        <v>7555.52</v>
      </c>
      <c r="L480" s="21"/>
    </row>
    <row r="481" spans="1:22" ht="14.25" x14ac:dyDescent="0.2">
      <c r="A481" s="18"/>
      <c r="B481" s="18"/>
      <c r="C481" s="18"/>
      <c r="D481" s="18" t="s">
        <v>735</v>
      </c>
      <c r="E481" s="19" t="s">
        <v>734</v>
      </c>
      <c r="F481" s="9">
        <f>Source!AU391</f>
        <v>10</v>
      </c>
      <c r="G481" s="21"/>
      <c r="H481" s="20"/>
      <c r="I481" s="9"/>
      <c r="J481" s="9"/>
      <c r="K481" s="21">
        <f>SUM(T476:T480)</f>
        <v>1079.3599999999999</v>
      </c>
      <c r="L481" s="21"/>
    </row>
    <row r="482" spans="1:22" ht="14.25" x14ac:dyDescent="0.2">
      <c r="A482" s="18"/>
      <c r="B482" s="18"/>
      <c r="C482" s="18"/>
      <c r="D482" s="18" t="s">
        <v>736</v>
      </c>
      <c r="E482" s="19" t="s">
        <v>737</v>
      </c>
      <c r="F482" s="9">
        <f>Source!AQ391</f>
        <v>0.48</v>
      </c>
      <c r="G482" s="21"/>
      <c r="H482" s="20" t="str">
        <f>Source!DI391</f>
        <v/>
      </c>
      <c r="I482" s="9">
        <f>Source!AV391</f>
        <v>1</v>
      </c>
      <c r="J482" s="9"/>
      <c r="K482" s="21"/>
      <c r="L482" s="21">
        <f>Source!U391</f>
        <v>19.2</v>
      </c>
    </row>
    <row r="483" spans="1:22" ht="15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51">
        <f>K478+K479+K480+K481</f>
        <v>19491.28</v>
      </c>
      <c r="K483" s="51"/>
      <c r="L483" s="24">
        <f>IF(Source!I391&lt;&gt;0, ROUND(J483/Source!I391, 2), 0)</f>
        <v>487.28</v>
      </c>
      <c r="P483" s="22">
        <f>J483</f>
        <v>19491.28</v>
      </c>
    </row>
    <row r="484" spans="1:22" ht="157.5" x14ac:dyDescent="0.2">
      <c r="A484" s="18">
        <v>53</v>
      </c>
      <c r="B484" s="18">
        <v>53</v>
      </c>
      <c r="C484" s="18" t="s">
        <v>743</v>
      </c>
      <c r="D484" s="18" t="s">
        <v>744</v>
      </c>
      <c r="E484" s="19" t="str">
        <f>Source!H392</f>
        <v>10 шт.</v>
      </c>
      <c r="F484" s="9">
        <f>Source!I392</f>
        <v>16</v>
      </c>
      <c r="G484" s="21"/>
      <c r="H484" s="20"/>
      <c r="I484" s="9"/>
      <c r="J484" s="9"/>
      <c r="K484" s="21"/>
      <c r="L484" s="21"/>
      <c r="Q484">
        <f>ROUND((Source!BZ392/100)*ROUND((Source!AF392*Source!AV392)*Source!I392, 2), 2)</f>
        <v>968.24</v>
      </c>
      <c r="R484">
        <f>Source!X392</f>
        <v>968.24</v>
      </c>
      <c r="S484">
        <f>ROUND((Source!CA392/100)*ROUND((Source!AF392*Source!AV392)*Source!I392, 2), 2)</f>
        <v>138.32</v>
      </c>
      <c r="T484">
        <f>Source!Y392</f>
        <v>138.32</v>
      </c>
      <c r="U484">
        <f>ROUND((175/100)*ROUND((Source!AE392*Source!AV392)*Source!I392, 2), 2)</f>
        <v>0</v>
      </c>
      <c r="V484">
        <f>ROUND((108/100)*ROUND(Source!CS392*Source!I392, 2), 2)</f>
        <v>0</v>
      </c>
    </row>
    <row r="485" spans="1:22" x14ac:dyDescent="0.2">
      <c r="D485" s="25" t="str">
        <f>"Объем: "&amp;Source!I392&amp;"=14+"&amp;"2"</f>
        <v>Объем: 16=14+2</v>
      </c>
    </row>
    <row r="486" spans="1:22" ht="14.25" x14ac:dyDescent="0.2">
      <c r="A486" s="18"/>
      <c r="B486" s="18"/>
      <c r="C486" s="18"/>
      <c r="D486" s="18" t="s">
        <v>731</v>
      </c>
      <c r="E486" s="19"/>
      <c r="F486" s="9"/>
      <c r="G486" s="21">
        <f>Source!AO392</f>
        <v>123.5</v>
      </c>
      <c r="H486" s="20" t="str">
        <f>Source!DG392</f>
        <v>)*0,70</v>
      </c>
      <c r="I486" s="9">
        <f>Source!AV392</f>
        <v>1</v>
      </c>
      <c r="J486" s="9">
        <f>IF(Source!BA392&lt;&gt; 0, Source!BA392, 1)</f>
        <v>1</v>
      </c>
      <c r="K486" s="21">
        <f>Source!S392</f>
        <v>1383.2</v>
      </c>
      <c r="L486" s="21"/>
    </row>
    <row r="487" spans="1:22" ht="14.25" x14ac:dyDescent="0.2">
      <c r="A487" s="18"/>
      <c r="B487" s="18"/>
      <c r="C487" s="18"/>
      <c r="D487" s="18" t="s">
        <v>732</v>
      </c>
      <c r="E487" s="19"/>
      <c r="F487" s="9"/>
      <c r="G487" s="21">
        <f>Source!AL392</f>
        <v>5.17</v>
      </c>
      <c r="H487" s="20" t="str">
        <f>Source!DD392</f>
        <v>)*1</v>
      </c>
      <c r="I487" s="9">
        <f>Source!AW392</f>
        <v>1</v>
      </c>
      <c r="J487" s="9">
        <f>IF(Source!BC392&lt;&gt; 0, Source!BC392, 1)</f>
        <v>1</v>
      </c>
      <c r="K487" s="21">
        <f>Source!P392</f>
        <v>82.72</v>
      </c>
      <c r="L487" s="21"/>
    </row>
    <row r="488" spans="1:22" ht="14.25" x14ac:dyDescent="0.2">
      <c r="A488" s="18"/>
      <c r="B488" s="18"/>
      <c r="C488" s="18"/>
      <c r="D488" s="18" t="s">
        <v>733</v>
      </c>
      <c r="E488" s="19" t="s">
        <v>734</v>
      </c>
      <c r="F488" s="9">
        <f>Source!AT392</f>
        <v>70</v>
      </c>
      <c r="G488" s="21"/>
      <c r="H488" s="20"/>
      <c r="I488" s="9"/>
      <c r="J488" s="9"/>
      <c r="K488" s="21">
        <f>SUM(R484:R487)</f>
        <v>968.24</v>
      </c>
      <c r="L488" s="21"/>
    </row>
    <row r="489" spans="1:22" ht="14.25" x14ac:dyDescent="0.2">
      <c r="A489" s="18"/>
      <c r="B489" s="18"/>
      <c r="C489" s="18"/>
      <c r="D489" s="18" t="s">
        <v>735</v>
      </c>
      <c r="E489" s="19" t="s">
        <v>734</v>
      </c>
      <c r="F489" s="9">
        <f>Source!AU392</f>
        <v>10</v>
      </c>
      <c r="G489" s="21"/>
      <c r="H489" s="20"/>
      <c r="I489" s="9"/>
      <c r="J489" s="9"/>
      <c r="K489" s="21">
        <f>SUM(T484:T488)</f>
        <v>138.32</v>
      </c>
      <c r="L489" s="21"/>
    </row>
    <row r="490" spans="1:22" ht="14.25" x14ac:dyDescent="0.2">
      <c r="A490" s="18"/>
      <c r="B490" s="18"/>
      <c r="C490" s="18"/>
      <c r="D490" s="18" t="s">
        <v>736</v>
      </c>
      <c r="E490" s="19" t="s">
        <v>737</v>
      </c>
      <c r="F490" s="9">
        <f>Source!AQ392</f>
        <v>0.2</v>
      </c>
      <c r="G490" s="21"/>
      <c r="H490" s="20" t="str">
        <f>Source!DI392</f>
        <v>)*0,70</v>
      </c>
      <c r="I490" s="9">
        <f>Source!AV392</f>
        <v>1</v>
      </c>
      <c r="J490" s="9"/>
      <c r="K490" s="21"/>
      <c r="L490" s="21">
        <f>Source!U392</f>
        <v>2.2399999999999998</v>
      </c>
    </row>
    <row r="491" spans="1:22" ht="15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51">
        <f>K486+K487+K488+K489</f>
        <v>2572.48</v>
      </c>
      <c r="K491" s="51"/>
      <c r="L491" s="24">
        <f>IF(Source!I392&lt;&gt;0, ROUND(J491/Source!I392, 2), 0)</f>
        <v>160.78</v>
      </c>
      <c r="P491" s="22">
        <f>J491</f>
        <v>2572.48</v>
      </c>
    </row>
    <row r="492" spans="1:22" ht="128.25" x14ac:dyDescent="0.2">
      <c r="A492" s="18">
        <v>54</v>
      </c>
      <c r="B492" s="18">
        <v>54</v>
      </c>
      <c r="C492" s="18" t="str">
        <f>Source!F394</f>
        <v>1.20-2103-24-1/1</v>
      </c>
      <c r="D492" s="18" t="str">
        <f>Source!G394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E492" s="19" t="str">
        <f>Source!H394</f>
        <v>шт.</v>
      </c>
      <c r="F492" s="9">
        <f>Source!I394</f>
        <v>24</v>
      </c>
      <c r="G492" s="21"/>
      <c r="H492" s="20"/>
      <c r="I492" s="9"/>
      <c r="J492" s="9"/>
      <c r="K492" s="21"/>
      <c r="L492" s="21"/>
      <c r="Q492">
        <f>ROUND((Source!BZ394/100)*ROUND((Source!AF394*Source!AV394)*Source!I394, 2), 2)</f>
        <v>2833.32</v>
      </c>
      <c r="R492">
        <f>Source!X394</f>
        <v>2833.32</v>
      </c>
      <c r="S492">
        <f>ROUND((Source!CA394/100)*ROUND((Source!AF394*Source!AV394)*Source!I394, 2), 2)</f>
        <v>404.76</v>
      </c>
      <c r="T492">
        <f>Source!Y394</f>
        <v>404.76</v>
      </c>
      <c r="U492">
        <f>ROUND((175/100)*ROUND((Source!AE394*Source!AV394)*Source!I394, 2), 2)</f>
        <v>0</v>
      </c>
      <c r="V492">
        <f>ROUND((108/100)*ROUND(Source!CS394*Source!I394, 2), 2)</f>
        <v>0</v>
      </c>
    </row>
    <row r="493" spans="1:22" x14ac:dyDescent="0.2">
      <c r="D493" s="25" t="str">
        <f>"Объем: "&amp;Source!I394&amp;"=21+"&amp;"3"</f>
        <v>Объем: 24=21+3</v>
      </c>
    </row>
    <row r="494" spans="1:22" ht="14.25" x14ac:dyDescent="0.2">
      <c r="A494" s="18"/>
      <c r="B494" s="18"/>
      <c r="C494" s="18"/>
      <c r="D494" s="18" t="s">
        <v>731</v>
      </c>
      <c r="E494" s="19"/>
      <c r="F494" s="9"/>
      <c r="G494" s="21">
        <f>Source!AO394</f>
        <v>168.65</v>
      </c>
      <c r="H494" s="20" t="str">
        <f>Source!DG394</f>
        <v/>
      </c>
      <c r="I494" s="9">
        <f>Source!AV394</f>
        <v>1</v>
      </c>
      <c r="J494" s="9">
        <f>IF(Source!BA394&lt;&gt; 0, Source!BA394, 1)</f>
        <v>1</v>
      </c>
      <c r="K494" s="21">
        <f>Source!S394</f>
        <v>4047.6</v>
      </c>
      <c r="L494" s="21"/>
    </row>
    <row r="495" spans="1:22" ht="14.25" x14ac:dyDescent="0.2">
      <c r="A495" s="18"/>
      <c r="B495" s="18"/>
      <c r="C495" s="18"/>
      <c r="D495" s="18" t="s">
        <v>732</v>
      </c>
      <c r="E495" s="19"/>
      <c r="F495" s="9"/>
      <c r="G495" s="21">
        <f>Source!AL394</f>
        <v>0.63</v>
      </c>
      <c r="H495" s="20" t="str">
        <f>Source!DD394</f>
        <v/>
      </c>
      <c r="I495" s="9">
        <f>Source!AW394</f>
        <v>1</v>
      </c>
      <c r="J495" s="9">
        <f>IF(Source!BC394&lt;&gt; 0, Source!BC394, 1)</f>
        <v>1</v>
      </c>
      <c r="K495" s="21">
        <f>Source!P394</f>
        <v>15.12</v>
      </c>
      <c r="L495" s="21"/>
    </row>
    <row r="496" spans="1:22" ht="14.25" x14ac:dyDescent="0.2">
      <c r="A496" s="18"/>
      <c r="B496" s="18"/>
      <c r="C496" s="18"/>
      <c r="D496" s="18" t="s">
        <v>733</v>
      </c>
      <c r="E496" s="19" t="s">
        <v>734</v>
      </c>
      <c r="F496" s="9">
        <f>Source!AT394</f>
        <v>70</v>
      </c>
      <c r="G496" s="21"/>
      <c r="H496" s="20"/>
      <c r="I496" s="9"/>
      <c r="J496" s="9"/>
      <c r="K496" s="21">
        <f>SUM(R492:R495)</f>
        <v>2833.32</v>
      </c>
      <c r="L496" s="21"/>
    </row>
    <row r="497" spans="1:22" ht="14.25" x14ac:dyDescent="0.2">
      <c r="A497" s="18"/>
      <c r="B497" s="18"/>
      <c r="C497" s="18"/>
      <c r="D497" s="18" t="s">
        <v>735</v>
      </c>
      <c r="E497" s="19" t="s">
        <v>734</v>
      </c>
      <c r="F497" s="9">
        <f>Source!AU394</f>
        <v>10</v>
      </c>
      <c r="G497" s="21"/>
      <c r="H497" s="20"/>
      <c r="I497" s="9"/>
      <c r="J497" s="9"/>
      <c r="K497" s="21">
        <f>SUM(T492:T496)</f>
        <v>404.76</v>
      </c>
      <c r="L497" s="21"/>
    </row>
    <row r="498" spans="1:22" ht="14.25" x14ac:dyDescent="0.2">
      <c r="A498" s="18"/>
      <c r="B498" s="18"/>
      <c r="C498" s="18"/>
      <c r="D498" s="18" t="s">
        <v>736</v>
      </c>
      <c r="E498" s="19" t="s">
        <v>737</v>
      </c>
      <c r="F498" s="9">
        <f>Source!AQ394</f>
        <v>0.3</v>
      </c>
      <c r="G498" s="21"/>
      <c r="H498" s="20" t="str">
        <f>Source!DI394</f>
        <v/>
      </c>
      <c r="I498" s="9">
        <f>Source!AV394</f>
        <v>1</v>
      </c>
      <c r="J498" s="9"/>
      <c r="K498" s="21"/>
      <c r="L498" s="21">
        <f>Source!U394</f>
        <v>7.1999999999999993</v>
      </c>
    </row>
    <row r="499" spans="1:22" ht="15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51">
        <f>K494+K495+K496+K497</f>
        <v>7300.8</v>
      </c>
      <c r="K499" s="51"/>
      <c r="L499" s="24">
        <f>IF(Source!I394&lt;&gt;0, ROUND(J499/Source!I394, 2), 0)</f>
        <v>304.2</v>
      </c>
      <c r="P499" s="22">
        <f>J499</f>
        <v>7300.8</v>
      </c>
    </row>
    <row r="500" spans="1:22" ht="128.25" x14ac:dyDescent="0.2">
      <c r="A500" s="18">
        <v>55</v>
      </c>
      <c r="B500" s="18">
        <v>55</v>
      </c>
      <c r="C500" s="18" t="str">
        <f>Source!F395</f>
        <v>1.20-2103-24-1/1</v>
      </c>
      <c r="D500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E500" s="19" t="str">
        <f>Source!H395</f>
        <v>шт.</v>
      </c>
      <c r="F500" s="9">
        <f>Source!I395</f>
        <v>26</v>
      </c>
      <c r="G500" s="21"/>
      <c r="H500" s="20"/>
      <c r="I500" s="9"/>
      <c r="J500" s="9"/>
      <c r="K500" s="21"/>
      <c r="L500" s="21"/>
      <c r="Q500">
        <f>ROUND((Source!BZ395/100)*ROUND((Source!AF395*Source!AV395)*Source!I395, 2), 2)</f>
        <v>3069.43</v>
      </c>
      <c r="R500">
        <f>Source!X395</f>
        <v>3069.43</v>
      </c>
      <c r="S500">
        <f>ROUND((Source!CA395/100)*ROUND((Source!AF395*Source!AV395)*Source!I395, 2), 2)</f>
        <v>438.49</v>
      </c>
      <c r="T500">
        <f>Source!Y395</f>
        <v>438.49</v>
      </c>
      <c r="U500">
        <f>ROUND((175/100)*ROUND((Source!AE395*Source!AV395)*Source!I395, 2), 2)</f>
        <v>0</v>
      </c>
      <c r="V500">
        <f>ROUND((108/100)*ROUND(Source!CS395*Source!I395, 2), 2)</f>
        <v>0</v>
      </c>
    </row>
    <row r="501" spans="1:22" x14ac:dyDescent="0.2">
      <c r="D501" s="25" t="str">
        <f>"Объем: "&amp;Source!I395&amp;"=14+"&amp;"12"</f>
        <v>Объем: 26=14+12</v>
      </c>
    </row>
    <row r="502" spans="1:22" ht="14.25" x14ac:dyDescent="0.2">
      <c r="A502" s="18"/>
      <c r="B502" s="18"/>
      <c r="C502" s="18"/>
      <c r="D502" s="18" t="s">
        <v>731</v>
      </c>
      <c r="E502" s="19"/>
      <c r="F502" s="9"/>
      <c r="G502" s="21">
        <f>Source!AO395</f>
        <v>168.65</v>
      </c>
      <c r="H502" s="20" t="str">
        <f>Source!DG395</f>
        <v/>
      </c>
      <c r="I502" s="9">
        <f>Source!AV395</f>
        <v>1</v>
      </c>
      <c r="J502" s="9">
        <f>IF(Source!BA395&lt;&gt; 0, Source!BA395, 1)</f>
        <v>1</v>
      </c>
      <c r="K502" s="21">
        <f>Source!S395</f>
        <v>4384.8999999999996</v>
      </c>
      <c r="L502" s="21"/>
    </row>
    <row r="503" spans="1:22" ht="14.25" x14ac:dyDescent="0.2">
      <c r="A503" s="18"/>
      <c r="B503" s="18"/>
      <c r="C503" s="18"/>
      <c r="D503" s="18" t="s">
        <v>732</v>
      </c>
      <c r="E503" s="19"/>
      <c r="F503" s="9"/>
      <c r="G503" s="21">
        <f>Source!AL395</f>
        <v>0.63</v>
      </c>
      <c r="H503" s="20" t="str">
        <f>Source!DD395</f>
        <v/>
      </c>
      <c r="I503" s="9">
        <f>Source!AW395</f>
        <v>1</v>
      </c>
      <c r="J503" s="9">
        <f>IF(Source!BC395&lt;&gt; 0, Source!BC395, 1)</f>
        <v>1</v>
      </c>
      <c r="K503" s="21">
        <f>Source!P395</f>
        <v>16.38</v>
      </c>
      <c r="L503" s="21"/>
    </row>
    <row r="504" spans="1:22" ht="14.25" x14ac:dyDescent="0.2">
      <c r="A504" s="18"/>
      <c r="B504" s="18"/>
      <c r="C504" s="18"/>
      <c r="D504" s="18" t="s">
        <v>733</v>
      </c>
      <c r="E504" s="19" t="s">
        <v>734</v>
      </c>
      <c r="F504" s="9">
        <f>Source!AT395</f>
        <v>70</v>
      </c>
      <c r="G504" s="21"/>
      <c r="H504" s="20"/>
      <c r="I504" s="9"/>
      <c r="J504" s="9"/>
      <c r="K504" s="21">
        <f>SUM(R500:R503)</f>
        <v>3069.43</v>
      </c>
      <c r="L504" s="21"/>
    </row>
    <row r="505" spans="1:22" ht="14.25" x14ac:dyDescent="0.2">
      <c r="A505" s="18"/>
      <c r="B505" s="18"/>
      <c r="C505" s="18"/>
      <c r="D505" s="18" t="s">
        <v>735</v>
      </c>
      <c r="E505" s="19" t="s">
        <v>734</v>
      </c>
      <c r="F505" s="9">
        <f>Source!AU395</f>
        <v>10</v>
      </c>
      <c r="G505" s="21"/>
      <c r="H505" s="20"/>
      <c r="I505" s="9"/>
      <c r="J505" s="9"/>
      <c r="K505" s="21">
        <f>SUM(T500:T504)</f>
        <v>438.49</v>
      </c>
      <c r="L505" s="21"/>
    </row>
    <row r="506" spans="1:22" ht="14.25" x14ac:dyDescent="0.2">
      <c r="A506" s="18"/>
      <c r="B506" s="18"/>
      <c r="C506" s="18"/>
      <c r="D506" s="18" t="s">
        <v>736</v>
      </c>
      <c r="E506" s="19" t="s">
        <v>737</v>
      </c>
      <c r="F506" s="9">
        <f>Source!AQ395</f>
        <v>0.3</v>
      </c>
      <c r="G506" s="21"/>
      <c r="H506" s="20" t="str">
        <f>Source!DI395</f>
        <v/>
      </c>
      <c r="I506" s="9">
        <f>Source!AV395</f>
        <v>1</v>
      </c>
      <c r="J506" s="9"/>
      <c r="K506" s="21"/>
      <c r="L506" s="21">
        <f>Source!U395</f>
        <v>7.8</v>
      </c>
    </row>
    <row r="507" spans="1:22" ht="15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51">
        <f>K502+K503+K504+K505</f>
        <v>7909.1999999999989</v>
      </c>
      <c r="K507" s="51"/>
      <c r="L507" s="24">
        <f>IF(Source!I395&lt;&gt;0, ROUND(J507/Source!I395, 2), 0)</f>
        <v>304.2</v>
      </c>
      <c r="P507" s="22">
        <f>J507</f>
        <v>7909.1999999999989</v>
      </c>
    </row>
    <row r="509" spans="1:22" ht="15" x14ac:dyDescent="0.25">
      <c r="A509" s="54" t="str">
        <f>CONCATENATE("Итого по подразделу: ",IF(Source!G397&lt;&gt;"Новый подраздел", Source!G397, ""))</f>
        <v>Итого по подразделу: 4.3  Осветительное оборудование</v>
      </c>
      <c r="B509" s="54"/>
      <c r="C509" s="54"/>
      <c r="D509" s="54"/>
      <c r="E509" s="54"/>
      <c r="F509" s="54"/>
      <c r="G509" s="54"/>
      <c r="H509" s="54"/>
      <c r="I509" s="54"/>
      <c r="J509" s="53">
        <f>SUM(P467:P508)</f>
        <v>173933.85</v>
      </c>
      <c r="K509" s="71"/>
      <c r="L509" s="26"/>
    </row>
    <row r="512" spans="1:22" ht="16.5" x14ac:dyDescent="0.25">
      <c r="A512" s="50" t="str">
        <f>CONCATENATE("Подраздел: ",IF(Source!G427&lt;&gt;"Новый подраздел", Source!G427, ""))</f>
        <v>Подраздел: 4.4  Кабельно-проводниковая продукция</v>
      </c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</row>
    <row r="513" spans="1:22" ht="57" x14ac:dyDescent="0.2">
      <c r="A513" s="18">
        <v>56</v>
      </c>
      <c r="B513" s="18">
        <v>56</v>
      </c>
      <c r="C513" s="18" t="str">
        <f>Source!F431</f>
        <v>1.21-2103-9-1/1</v>
      </c>
      <c r="D513" s="18" t="str">
        <f>Source!G431</f>
        <v>Техническое обслуживание силовых сетей, проложенных по кирпичным и бетонным основаниям, провод сечением 2х1,5-6 мм2</v>
      </c>
      <c r="E513" s="19" t="str">
        <f>Source!H431</f>
        <v>100 м</v>
      </c>
      <c r="F513" s="9">
        <f>Source!I431</f>
        <v>0.38800000000000001</v>
      </c>
      <c r="G513" s="21"/>
      <c r="H513" s="20"/>
      <c r="I513" s="9"/>
      <c r="J513" s="9"/>
      <c r="K513" s="21"/>
      <c r="L513" s="21"/>
      <c r="Q513">
        <f>ROUND((Source!BZ431/100)*ROUND((Source!AF431*Source!AV431)*Source!I431, 2), 2)</f>
        <v>1038.0899999999999</v>
      </c>
      <c r="R513">
        <f>Source!X431</f>
        <v>1038.0899999999999</v>
      </c>
      <c r="S513">
        <f>ROUND((Source!CA431/100)*ROUND((Source!AF431*Source!AV431)*Source!I431, 2), 2)</f>
        <v>148.30000000000001</v>
      </c>
      <c r="T513">
        <f>Source!Y431</f>
        <v>148.30000000000001</v>
      </c>
      <c r="U513">
        <f>ROUND((175/100)*ROUND((Source!AE431*Source!AV431)*Source!I431, 2), 2)</f>
        <v>0</v>
      </c>
      <c r="V513">
        <f>ROUND((108/100)*ROUND(Source!CS431*Source!I431, 2), 2)</f>
        <v>0</v>
      </c>
    </row>
    <row r="514" spans="1:22" ht="38.25" x14ac:dyDescent="0.2">
      <c r="D514" s="25" t="str">
        <f>"Объем: "&amp;Source!I431&amp;"=(1000+"&amp;"10+"&amp;"80+"&amp;"110+"&amp;"140+"&amp;"170+"&amp;"200+"&amp;"230)*"&amp;"0,2*"&amp;"0,1/"&amp;"100"</f>
        <v>Объем: 0,388=(1000+10+80+110+140+170+200+230)*0,2*0,1/100</v>
      </c>
    </row>
    <row r="515" spans="1:22" ht="14.25" x14ac:dyDescent="0.2">
      <c r="A515" s="18"/>
      <c r="B515" s="18"/>
      <c r="C515" s="18"/>
      <c r="D515" s="18" t="s">
        <v>731</v>
      </c>
      <c r="E515" s="19"/>
      <c r="F515" s="9"/>
      <c r="G515" s="21">
        <f>Source!AO431</f>
        <v>3822.15</v>
      </c>
      <c r="H515" s="20" t="str">
        <f>Source!DG431</f>
        <v/>
      </c>
      <c r="I515" s="9">
        <f>Source!AV431</f>
        <v>1</v>
      </c>
      <c r="J515" s="9">
        <f>IF(Source!BA431&lt;&gt; 0, Source!BA431, 1)</f>
        <v>1</v>
      </c>
      <c r="K515" s="21">
        <f>Source!S431</f>
        <v>1482.99</v>
      </c>
      <c r="L515" s="21"/>
    </row>
    <row r="516" spans="1:22" ht="14.25" x14ac:dyDescent="0.2">
      <c r="A516" s="18"/>
      <c r="B516" s="18"/>
      <c r="C516" s="18"/>
      <c r="D516" s="18" t="s">
        <v>732</v>
      </c>
      <c r="E516" s="19"/>
      <c r="F516" s="9"/>
      <c r="G516" s="21">
        <f>Source!AL431</f>
        <v>22.51</v>
      </c>
      <c r="H516" s="20" t="str">
        <f>Source!DD431</f>
        <v/>
      </c>
      <c r="I516" s="9">
        <f>Source!AW431</f>
        <v>1</v>
      </c>
      <c r="J516" s="9">
        <f>IF(Source!BC431&lt;&gt; 0, Source!BC431, 1)</f>
        <v>1</v>
      </c>
      <c r="K516" s="21">
        <f>Source!P431</f>
        <v>8.73</v>
      </c>
      <c r="L516" s="21"/>
    </row>
    <row r="517" spans="1:22" ht="14.25" x14ac:dyDescent="0.2">
      <c r="A517" s="18"/>
      <c r="B517" s="18"/>
      <c r="C517" s="18"/>
      <c r="D517" s="18" t="s">
        <v>733</v>
      </c>
      <c r="E517" s="19" t="s">
        <v>734</v>
      </c>
      <c r="F517" s="9">
        <f>Source!AT431</f>
        <v>70</v>
      </c>
      <c r="G517" s="21"/>
      <c r="H517" s="20"/>
      <c r="I517" s="9"/>
      <c r="J517" s="9"/>
      <c r="K517" s="21">
        <f>SUM(R513:R516)</f>
        <v>1038.0899999999999</v>
      </c>
      <c r="L517" s="21"/>
    </row>
    <row r="518" spans="1:22" ht="14.25" x14ac:dyDescent="0.2">
      <c r="A518" s="18"/>
      <c r="B518" s="18"/>
      <c r="C518" s="18"/>
      <c r="D518" s="18" t="s">
        <v>735</v>
      </c>
      <c r="E518" s="19" t="s">
        <v>734</v>
      </c>
      <c r="F518" s="9">
        <f>Source!AU431</f>
        <v>10</v>
      </c>
      <c r="G518" s="21"/>
      <c r="H518" s="20"/>
      <c r="I518" s="9"/>
      <c r="J518" s="9"/>
      <c r="K518" s="21">
        <f>SUM(T513:T517)</f>
        <v>148.30000000000001</v>
      </c>
      <c r="L518" s="21"/>
    </row>
    <row r="519" spans="1:22" ht="14.25" x14ac:dyDescent="0.2">
      <c r="A519" s="18"/>
      <c r="B519" s="18"/>
      <c r="C519" s="18"/>
      <c r="D519" s="18" t="s">
        <v>736</v>
      </c>
      <c r="E519" s="19" t="s">
        <v>737</v>
      </c>
      <c r="F519" s="9">
        <f>Source!AQ431</f>
        <v>7.14</v>
      </c>
      <c r="G519" s="21"/>
      <c r="H519" s="20" t="str">
        <f>Source!DI431</f>
        <v/>
      </c>
      <c r="I519" s="9">
        <f>Source!AV431</f>
        <v>1</v>
      </c>
      <c r="J519" s="9"/>
      <c r="K519" s="21"/>
      <c r="L519" s="21">
        <f>Source!U431</f>
        <v>2.7703199999999999</v>
      </c>
    </row>
    <row r="520" spans="1:22" ht="15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51">
        <f>K515+K516+K517+K518</f>
        <v>2678.11</v>
      </c>
      <c r="K520" s="51"/>
      <c r="L520" s="24">
        <f>IF(Source!I431&lt;&gt;0, ROUND(J520/Source!I431, 2), 0)</f>
        <v>6902.35</v>
      </c>
      <c r="P520" s="22">
        <f>J520</f>
        <v>2678.11</v>
      </c>
    </row>
    <row r="521" spans="1:22" ht="57" x14ac:dyDescent="0.2">
      <c r="A521" s="18">
        <v>57</v>
      </c>
      <c r="B521" s="18">
        <v>57</v>
      </c>
      <c r="C521" s="18" t="str">
        <f>Source!F433</f>
        <v>1.21-2103-9-2/1</v>
      </c>
      <c r="D521" s="18" t="str">
        <f>Source!G433</f>
        <v>Техническое обслуживание силовых сетей, проложенных по кирпичным и бетонным основаниям, провод сечением 3х1,5-6 мм2</v>
      </c>
      <c r="E521" s="19" t="str">
        <f>Source!H433</f>
        <v>100 м</v>
      </c>
      <c r="F521" s="9">
        <f>Source!I433</f>
        <v>3.6</v>
      </c>
      <c r="G521" s="21"/>
      <c r="H521" s="20"/>
      <c r="I521" s="9"/>
      <c r="J521" s="9"/>
      <c r="K521" s="21"/>
      <c r="L521" s="21"/>
      <c r="Q521">
        <f>ROUND((Source!BZ433/100)*ROUND((Source!AF433*Source!AV433)*Source!I433, 2), 2)</f>
        <v>13489.94</v>
      </c>
      <c r="R521">
        <f>Source!X433</f>
        <v>13489.94</v>
      </c>
      <c r="S521">
        <f>ROUND((Source!CA433/100)*ROUND((Source!AF433*Source!AV433)*Source!I433, 2), 2)</f>
        <v>1927.13</v>
      </c>
      <c r="T521">
        <f>Source!Y433</f>
        <v>1927.13</v>
      </c>
      <c r="U521">
        <f>ROUND((175/100)*ROUND((Source!AE433*Source!AV433)*Source!I433, 2), 2)</f>
        <v>0</v>
      </c>
      <c r="V521">
        <f>ROUND((108/100)*ROUND(Source!CS433*Source!I433, 2), 2)</f>
        <v>0</v>
      </c>
    </row>
    <row r="522" spans="1:22" ht="38.25" x14ac:dyDescent="0.2">
      <c r="D522" s="25" t="str">
        <f>"Объем: "&amp;Source!I433&amp;"=(5250+"&amp;"6300+"&amp;"2450+"&amp;"1750+"&amp;"750+"&amp;"900+"&amp;"350+"&amp;"250)*"&amp;"0,2*"&amp;"0,1/"&amp;"100"</f>
        <v>Объем: 3,6=(5250+6300+2450+1750+750+900+350+250)*0,2*0,1/100</v>
      </c>
    </row>
    <row r="523" spans="1:22" ht="14.25" x14ac:dyDescent="0.2">
      <c r="A523" s="18"/>
      <c r="B523" s="18"/>
      <c r="C523" s="18"/>
      <c r="D523" s="18" t="s">
        <v>731</v>
      </c>
      <c r="E523" s="19"/>
      <c r="F523" s="9"/>
      <c r="G523" s="21">
        <f>Source!AO433</f>
        <v>5353.15</v>
      </c>
      <c r="H523" s="20" t="str">
        <f>Source!DG433</f>
        <v/>
      </c>
      <c r="I523" s="9">
        <f>Source!AV433</f>
        <v>1</v>
      </c>
      <c r="J523" s="9">
        <f>IF(Source!BA433&lt;&gt; 0, Source!BA433, 1)</f>
        <v>1</v>
      </c>
      <c r="K523" s="21">
        <f>Source!S433</f>
        <v>19271.34</v>
      </c>
      <c r="L523" s="21"/>
    </row>
    <row r="524" spans="1:22" ht="14.25" x14ac:dyDescent="0.2">
      <c r="A524" s="18"/>
      <c r="B524" s="18"/>
      <c r="C524" s="18"/>
      <c r="D524" s="18" t="s">
        <v>732</v>
      </c>
      <c r="E524" s="19"/>
      <c r="F524" s="9"/>
      <c r="G524" s="21">
        <f>Source!AL433</f>
        <v>22.51</v>
      </c>
      <c r="H524" s="20" t="str">
        <f>Source!DD433</f>
        <v/>
      </c>
      <c r="I524" s="9">
        <f>Source!AW433</f>
        <v>1</v>
      </c>
      <c r="J524" s="9">
        <f>IF(Source!BC433&lt;&gt; 0, Source!BC433, 1)</f>
        <v>1</v>
      </c>
      <c r="K524" s="21">
        <f>Source!P433</f>
        <v>81.040000000000006</v>
      </c>
      <c r="L524" s="21"/>
    </row>
    <row r="525" spans="1:22" ht="14.25" x14ac:dyDescent="0.2">
      <c r="A525" s="18"/>
      <c r="B525" s="18"/>
      <c r="C525" s="18"/>
      <c r="D525" s="18" t="s">
        <v>733</v>
      </c>
      <c r="E525" s="19" t="s">
        <v>734</v>
      </c>
      <c r="F525" s="9">
        <f>Source!AT433</f>
        <v>70</v>
      </c>
      <c r="G525" s="21"/>
      <c r="H525" s="20"/>
      <c r="I525" s="9"/>
      <c r="J525" s="9"/>
      <c r="K525" s="21">
        <f>SUM(R521:R524)</f>
        <v>13489.94</v>
      </c>
      <c r="L525" s="21"/>
    </row>
    <row r="526" spans="1:22" ht="14.25" x14ac:dyDescent="0.2">
      <c r="A526" s="18"/>
      <c r="B526" s="18"/>
      <c r="C526" s="18"/>
      <c r="D526" s="18" t="s">
        <v>735</v>
      </c>
      <c r="E526" s="19" t="s">
        <v>734</v>
      </c>
      <c r="F526" s="9">
        <f>Source!AU433</f>
        <v>10</v>
      </c>
      <c r="G526" s="21"/>
      <c r="H526" s="20"/>
      <c r="I526" s="9"/>
      <c r="J526" s="9"/>
      <c r="K526" s="21">
        <f>SUM(T521:T525)</f>
        <v>1927.13</v>
      </c>
      <c r="L526" s="21"/>
    </row>
    <row r="527" spans="1:22" ht="14.25" x14ac:dyDescent="0.2">
      <c r="A527" s="18"/>
      <c r="B527" s="18"/>
      <c r="C527" s="18"/>
      <c r="D527" s="18" t="s">
        <v>736</v>
      </c>
      <c r="E527" s="19" t="s">
        <v>737</v>
      </c>
      <c r="F527" s="9">
        <f>Source!AQ433</f>
        <v>10</v>
      </c>
      <c r="G527" s="21"/>
      <c r="H527" s="20" t="str">
        <f>Source!DI433</f>
        <v/>
      </c>
      <c r="I527" s="9">
        <f>Source!AV433</f>
        <v>1</v>
      </c>
      <c r="J527" s="9"/>
      <c r="K527" s="21"/>
      <c r="L527" s="21">
        <f>Source!U433</f>
        <v>36</v>
      </c>
    </row>
    <row r="528" spans="1:22" ht="15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51">
        <f>K523+K524+K525+K526</f>
        <v>34769.449999999997</v>
      </c>
      <c r="K528" s="51"/>
      <c r="L528" s="24">
        <f>IF(Source!I433&lt;&gt;0, ROUND(J528/Source!I433, 2), 0)</f>
        <v>9658.18</v>
      </c>
      <c r="P528" s="22">
        <f>J528</f>
        <v>34769.449999999997</v>
      </c>
    </row>
    <row r="529" spans="1:22" ht="57" x14ac:dyDescent="0.2">
      <c r="A529" s="18">
        <v>58</v>
      </c>
      <c r="B529" s="18">
        <v>58</v>
      </c>
      <c r="C529" s="18" t="str">
        <f>Source!F435</f>
        <v>1.21-2103-9-3/1</v>
      </c>
      <c r="D529" s="18" t="str">
        <f>Source!G435</f>
        <v>Техническое обслуживание силовых сетей, проложенных по кирпичным и бетонным основаниям, провод сечением 4х1,5-6 мм2 (5х2,5, 5х4, 5х6)</v>
      </c>
      <c r="E529" s="19" t="str">
        <f>Source!H435</f>
        <v>100 м</v>
      </c>
      <c r="F529" s="9">
        <f>Source!I435</f>
        <v>0.76900000000000002</v>
      </c>
      <c r="G529" s="21"/>
      <c r="H529" s="20"/>
      <c r="I529" s="9"/>
      <c r="J529" s="9"/>
      <c r="K529" s="21"/>
      <c r="L529" s="21"/>
      <c r="Q529">
        <f>ROUND((Source!BZ435/100)*ROUND((Source!AF435*Source!AV435)*Source!I435, 2), 2)</f>
        <v>3233.16</v>
      </c>
      <c r="R529">
        <f>Source!X435</f>
        <v>3233.16</v>
      </c>
      <c r="S529">
        <f>ROUND((Source!CA435/100)*ROUND((Source!AF435*Source!AV435)*Source!I435, 2), 2)</f>
        <v>461.88</v>
      </c>
      <c r="T529">
        <f>Source!Y435</f>
        <v>461.88</v>
      </c>
      <c r="U529">
        <f>ROUND((175/100)*ROUND((Source!AE435*Source!AV435)*Source!I435, 2), 2)</f>
        <v>0</v>
      </c>
      <c r="V529">
        <f>ROUND((108/100)*ROUND(Source!CS435*Source!I435, 2), 2)</f>
        <v>0</v>
      </c>
    </row>
    <row r="530" spans="1:22" ht="38.25" x14ac:dyDescent="0.2">
      <c r="D530" s="25" t="str">
        <f>"Объем: "&amp;Source!I435&amp;"=(420+"&amp;"490+"&amp;"820+"&amp;"330+"&amp;"810+"&amp;"60+"&amp;"70+"&amp;"70+"&amp;"35+"&amp;"80+"&amp;"80+"&amp;"80+"&amp;"110+"&amp;"110+"&amp;"140+"&amp;"140)*"&amp;"0,2*"&amp;"0,1/"&amp;"100"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31" spans="1:22" ht="14.25" x14ac:dyDescent="0.2">
      <c r="A531" s="18"/>
      <c r="B531" s="18"/>
      <c r="C531" s="18"/>
      <c r="D531" s="18" t="s">
        <v>731</v>
      </c>
      <c r="E531" s="19"/>
      <c r="F531" s="9"/>
      <c r="G531" s="21">
        <f>Source!AO435</f>
        <v>6006.24</v>
      </c>
      <c r="H531" s="20" t="str">
        <f>Source!DG435</f>
        <v/>
      </c>
      <c r="I531" s="9">
        <f>Source!AV435</f>
        <v>1</v>
      </c>
      <c r="J531" s="9">
        <f>IF(Source!BA435&lt;&gt; 0, Source!BA435, 1)</f>
        <v>1</v>
      </c>
      <c r="K531" s="21">
        <f>Source!S435</f>
        <v>4618.8</v>
      </c>
      <c r="L531" s="21"/>
    </row>
    <row r="532" spans="1:22" ht="14.25" x14ac:dyDescent="0.2">
      <c r="A532" s="18"/>
      <c r="B532" s="18"/>
      <c r="C532" s="18"/>
      <c r="D532" s="18" t="s">
        <v>732</v>
      </c>
      <c r="E532" s="19"/>
      <c r="F532" s="9"/>
      <c r="G532" s="21">
        <f>Source!AL435</f>
        <v>14.63</v>
      </c>
      <c r="H532" s="20" t="str">
        <f>Source!DD435</f>
        <v/>
      </c>
      <c r="I532" s="9">
        <f>Source!AW435</f>
        <v>1</v>
      </c>
      <c r="J532" s="9">
        <f>IF(Source!BC435&lt;&gt; 0, Source!BC435, 1)</f>
        <v>1</v>
      </c>
      <c r="K532" s="21">
        <f>Source!P435</f>
        <v>11.25</v>
      </c>
      <c r="L532" s="21"/>
    </row>
    <row r="533" spans="1:22" ht="14.25" x14ac:dyDescent="0.2">
      <c r="A533" s="18"/>
      <c r="B533" s="18"/>
      <c r="C533" s="18"/>
      <c r="D533" s="18" t="s">
        <v>733</v>
      </c>
      <c r="E533" s="19" t="s">
        <v>734</v>
      </c>
      <c r="F533" s="9">
        <f>Source!AT435</f>
        <v>70</v>
      </c>
      <c r="G533" s="21"/>
      <c r="H533" s="20"/>
      <c r="I533" s="9"/>
      <c r="J533" s="9"/>
      <c r="K533" s="21">
        <f>SUM(R529:R532)</f>
        <v>3233.16</v>
      </c>
      <c r="L533" s="21"/>
    </row>
    <row r="534" spans="1:22" ht="14.25" x14ac:dyDescent="0.2">
      <c r="A534" s="18"/>
      <c r="B534" s="18"/>
      <c r="C534" s="18"/>
      <c r="D534" s="18" t="s">
        <v>735</v>
      </c>
      <c r="E534" s="19" t="s">
        <v>734</v>
      </c>
      <c r="F534" s="9">
        <f>Source!AU435</f>
        <v>10</v>
      </c>
      <c r="G534" s="21"/>
      <c r="H534" s="20"/>
      <c r="I534" s="9"/>
      <c r="J534" s="9"/>
      <c r="K534" s="21">
        <f>SUM(T529:T533)</f>
        <v>461.88</v>
      </c>
      <c r="L534" s="21"/>
    </row>
    <row r="535" spans="1:22" ht="14.25" x14ac:dyDescent="0.2">
      <c r="A535" s="18"/>
      <c r="B535" s="18"/>
      <c r="C535" s="18"/>
      <c r="D535" s="18" t="s">
        <v>736</v>
      </c>
      <c r="E535" s="19" t="s">
        <v>737</v>
      </c>
      <c r="F535" s="9">
        <f>Source!AQ435</f>
        <v>11.22</v>
      </c>
      <c r="G535" s="21"/>
      <c r="H535" s="20" t="str">
        <f>Source!DI435</f>
        <v/>
      </c>
      <c r="I535" s="9">
        <f>Source!AV435</f>
        <v>1</v>
      </c>
      <c r="J535" s="9"/>
      <c r="K535" s="21"/>
      <c r="L535" s="21">
        <f>Source!U435</f>
        <v>8.6281800000000004</v>
      </c>
    </row>
    <row r="536" spans="1:22" ht="15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51">
        <f>K531+K532+K533+K534</f>
        <v>8325.09</v>
      </c>
      <c r="K536" s="51"/>
      <c r="L536" s="24">
        <f>IF(Source!I435&lt;&gt;0, ROUND(J536/Source!I435, 2), 0)</f>
        <v>10825.86</v>
      </c>
      <c r="P536" s="22">
        <f>J536</f>
        <v>8325.09</v>
      </c>
    </row>
    <row r="537" spans="1:22" ht="57" x14ac:dyDescent="0.2">
      <c r="A537" s="18">
        <v>59</v>
      </c>
      <c r="B537" s="18">
        <v>59</v>
      </c>
      <c r="C537" s="18" t="str">
        <f>Source!F437</f>
        <v>1.21-2103-9-5/1</v>
      </c>
      <c r="D537" s="18" t="str">
        <f>Source!G437</f>
        <v>Техническое обслуживание силовых сетей, проложенных по кирпичным и бетонным основаниям, провод сечением 3х10-16 мм2 (5х10, 5х16)</v>
      </c>
      <c r="E537" s="19" t="str">
        <f>Source!H437</f>
        <v>100 м</v>
      </c>
      <c r="F537" s="9">
        <f>Source!I437</f>
        <v>0.8</v>
      </c>
      <c r="G537" s="21"/>
      <c r="H537" s="20"/>
      <c r="I537" s="9"/>
      <c r="J537" s="9"/>
      <c r="K537" s="21"/>
      <c r="L537" s="21"/>
      <c r="Q537">
        <f>ROUND((Source!BZ437/100)*ROUND((Source!AF437*Source!AV437)*Source!I437, 2), 2)</f>
        <v>3561.34</v>
      </c>
      <c r="R537">
        <f>Source!X437</f>
        <v>3561.34</v>
      </c>
      <c r="S537">
        <f>ROUND((Source!CA437/100)*ROUND((Source!AF437*Source!AV437)*Source!I437, 2), 2)</f>
        <v>508.76</v>
      </c>
      <c r="T537">
        <f>Source!Y437</f>
        <v>508.76</v>
      </c>
      <c r="U537">
        <f>ROUND((175/100)*ROUND((Source!AE437*Source!AV437)*Source!I437, 2), 2)</f>
        <v>0</v>
      </c>
      <c r="V537">
        <f>ROUND((108/100)*ROUND(Source!CS437*Source!I437, 2), 2)</f>
        <v>0</v>
      </c>
    </row>
    <row r="538" spans="1:22" ht="38.25" x14ac:dyDescent="0.2">
      <c r="D538" s="25" t="str">
        <f>"Объем: "&amp;Source!I437&amp;"=(600+"&amp;"140+"&amp;"1860+"&amp;"20+"&amp;"180+"&amp;"170+"&amp;"170+"&amp;"200+"&amp;"200+"&amp;"230+"&amp;"230)*"&amp;"0,2*"&amp;"0,1/"&amp;"100"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39" spans="1:22" ht="14.25" x14ac:dyDescent="0.2">
      <c r="A539" s="18"/>
      <c r="B539" s="18"/>
      <c r="C539" s="18"/>
      <c r="D539" s="18" t="s">
        <v>731</v>
      </c>
      <c r="E539" s="19"/>
      <c r="F539" s="9"/>
      <c r="G539" s="21">
        <f>Source!AO437</f>
        <v>6359.54</v>
      </c>
      <c r="H539" s="20" t="str">
        <f>Source!DG437</f>
        <v/>
      </c>
      <c r="I539" s="9">
        <f>Source!AV437</f>
        <v>1</v>
      </c>
      <c r="J539" s="9">
        <f>IF(Source!BA437&lt;&gt; 0, Source!BA437, 1)</f>
        <v>1</v>
      </c>
      <c r="K539" s="21">
        <f>Source!S437</f>
        <v>5087.63</v>
      </c>
      <c r="L539" s="21"/>
    </row>
    <row r="540" spans="1:22" ht="14.25" x14ac:dyDescent="0.2">
      <c r="A540" s="18"/>
      <c r="B540" s="18"/>
      <c r="C540" s="18"/>
      <c r="D540" s="18" t="s">
        <v>732</v>
      </c>
      <c r="E540" s="19"/>
      <c r="F540" s="9"/>
      <c r="G540" s="21">
        <f>Source!AL437</f>
        <v>15.76</v>
      </c>
      <c r="H540" s="20" t="str">
        <f>Source!DD437</f>
        <v/>
      </c>
      <c r="I540" s="9">
        <f>Source!AW437</f>
        <v>1</v>
      </c>
      <c r="J540" s="9">
        <f>IF(Source!BC437&lt;&gt; 0, Source!BC437, 1)</f>
        <v>1</v>
      </c>
      <c r="K540" s="21">
        <f>Source!P437</f>
        <v>12.61</v>
      </c>
      <c r="L540" s="21"/>
    </row>
    <row r="541" spans="1:22" ht="14.25" x14ac:dyDescent="0.2">
      <c r="A541" s="18"/>
      <c r="B541" s="18"/>
      <c r="C541" s="18"/>
      <c r="D541" s="18" t="s">
        <v>733</v>
      </c>
      <c r="E541" s="19" t="s">
        <v>734</v>
      </c>
      <c r="F541" s="9">
        <f>Source!AT437</f>
        <v>70</v>
      </c>
      <c r="G541" s="21"/>
      <c r="H541" s="20"/>
      <c r="I541" s="9"/>
      <c r="J541" s="9"/>
      <c r="K541" s="21">
        <f>SUM(R537:R540)</f>
        <v>3561.34</v>
      </c>
      <c r="L541" s="21"/>
    </row>
    <row r="542" spans="1:22" ht="14.25" x14ac:dyDescent="0.2">
      <c r="A542" s="18"/>
      <c r="B542" s="18"/>
      <c r="C542" s="18"/>
      <c r="D542" s="18" t="s">
        <v>735</v>
      </c>
      <c r="E542" s="19" t="s">
        <v>734</v>
      </c>
      <c r="F542" s="9">
        <f>Source!AU437</f>
        <v>10</v>
      </c>
      <c r="G542" s="21"/>
      <c r="H542" s="20"/>
      <c r="I542" s="9"/>
      <c r="J542" s="9"/>
      <c r="K542" s="21">
        <f>SUM(T537:T541)</f>
        <v>508.76</v>
      </c>
      <c r="L542" s="21"/>
    </row>
    <row r="543" spans="1:22" ht="14.25" x14ac:dyDescent="0.2">
      <c r="A543" s="18"/>
      <c r="B543" s="18"/>
      <c r="C543" s="18"/>
      <c r="D543" s="18" t="s">
        <v>736</v>
      </c>
      <c r="E543" s="19" t="s">
        <v>737</v>
      </c>
      <c r="F543" s="9">
        <f>Source!AQ437</f>
        <v>11.88</v>
      </c>
      <c r="G543" s="21"/>
      <c r="H543" s="20" t="str">
        <f>Source!DI437</f>
        <v/>
      </c>
      <c r="I543" s="9">
        <f>Source!AV437</f>
        <v>1</v>
      </c>
      <c r="J543" s="9"/>
      <c r="K543" s="21"/>
      <c r="L543" s="21">
        <f>Source!U437</f>
        <v>9.5040000000000013</v>
      </c>
    </row>
    <row r="544" spans="1:22" ht="15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51">
        <f>K539+K540+K541+K542</f>
        <v>9170.34</v>
      </c>
      <c r="K544" s="51"/>
      <c r="L544" s="24">
        <f>IF(Source!I437&lt;&gt;0, ROUND(J544/Source!I437, 2), 0)</f>
        <v>11462.93</v>
      </c>
      <c r="P544" s="22">
        <f>J544</f>
        <v>9170.34</v>
      </c>
    </row>
    <row r="545" spans="1:22" ht="71.25" x14ac:dyDescent="0.2">
      <c r="A545" s="18">
        <v>60</v>
      </c>
      <c r="B545" s="18">
        <v>60</v>
      </c>
      <c r="C545" s="18" t="str">
        <f>Source!F438</f>
        <v>1.21-2103-9-6/1</v>
      </c>
      <c r="D545" s="18" t="str">
        <f>Source!G438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E545" s="19" t="str">
        <f>Source!H438</f>
        <v>100 м</v>
      </c>
      <c r="F545" s="9">
        <f>Source!I438</f>
        <v>0.56000000000000005</v>
      </c>
      <c r="G545" s="21"/>
      <c r="H545" s="20"/>
      <c r="I545" s="9"/>
      <c r="J545" s="9"/>
      <c r="K545" s="21"/>
      <c r="L545" s="21"/>
      <c r="Q545">
        <f>ROUND((Source!BZ438/100)*ROUND((Source!AF438*Source!AV438)*Source!I438, 2), 2)</f>
        <v>553.99</v>
      </c>
      <c r="R545">
        <f>Source!X438</f>
        <v>553.99</v>
      </c>
      <c r="S545">
        <f>ROUND((Source!CA438/100)*ROUND((Source!AF438*Source!AV438)*Source!I438, 2), 2)</f>
        <v>79.14</v>
      </c>
      <c r="T545">
        <f>Source!Y438</f>
        <v>79.14</v>
      </c>
      <c r="U545">
        <f>ROUND((175/100)*ROUND((Source!AE438*Source!AV438)*Source!I438, 2), 2)</f>
        <v>0</v>
      </c>
      <c r="V545">
        <f>ROUND((108/100)*ROUND(Source!CS438*Source!I438, 2), 2)</f>
        <v>0</v>
      </c>
    </row>
    <row r="546" spans="1:22" ht="25.5" x14ac:dyDescent="0.2">
      <c r="D546" s="25" t="str">
        <f>"Объем: "&amp;Source!I438&amp;"=(600+"&amp;"140+"&amp;"1860+"&amp;"20+"&amp;"180)*"&amp;"0,2*"&amp;"0,1/"&amp;"100"</f>
        <v>Объем: 0,56=(600+140+1860+20+180)*0,2*0,1/100</v>
      </c>
    </row>
    <row r="547" spans="1:22" ht="14.25" x14ac:dyDescent="0.2">
      <c r="A547" s="18"/>
      <c r="B547" s="18"/>
      <c r="C547" s="18"/>
      <c r="D547" s="18" t="s">
        <v>731</v>
      </c>
      <c r="E547" s="19"/>
      <c r="F547" s="9"/>
      <c r="G547" s="21">
        <f>Source!AO438</f>
        <v>1413.23</v>
      </c>
      <c r="H547" s="20" t="str">
        <f>Source!DG438</f>
        <v/>
      </c>
      <c r="I547" s="9">
        <f>Source!AV438</f>
        <v>1</v>
      </c>
      <c r="J547" s="9">
        <f>IF(Source!BA438&lt;&gt; 0, Source!BA438, 1)</f>
        <v>1</v>
      </c>
      <c r="K547" s="21">
        <f>Source!S438</f>
        <v>791.41</v>
      </c>
      <c r="L547" s="21"/>
    </row>
    <row r="548" spans="1:22" ht="14.25" x14ac:dyDescent="0.2">
      <c r="A548" s="18"/>
      <c r="B548" s="18"/>
      <c r="C548" s="18"/>
      <c r="D548" s="18" t="s">
        <v>732</v>
      </c>
      <c r="E548" s="19"/>
      <c r="F548" s="9"/>
      <c r="G548" s="21">
        <f>Source!AL438</f>
        <v>3.38</v>
      </c>
      <c r="H548" s="20" t="str">
        <f>Source!DD438</f>
        <v/>
      </c>
      <c r="I548" s="9">
        <f>Source!AW438</f>
        <v>1</v>
      </c>
      <c r="J548" s="9">
        <f>IF(Source!BC438&lt;&gt; 0, Source!BC438, 1)</f>
        <v>1</v>
      </c>
      <c r="K548" s="21">
        <f>Source!P438</f>
        <v>1.89</v>
      </c>
      <c r="L548" s="21"/>
    </row>
    <row r="549" spans="1:22" ht="14.25" x14ac:dyDescent="0.2">
      <c r="A549" s="18"/>
      <c r="B549" s="18"/>
      <c r="C549" s="18"/>
      <c r="D549" s="18" t="s">
        <v>733</v>
      </c>
      <c r="E549" s="19" t="s">
        <v>734</v>
      </c>
      <c r="F549" s="9">
        <f>Source!AT438</f>
        <v>70</v>
      </c>
      <c r="G549" s="21"/>
      <c r="H549" s="20"/>
      <c r="I549" s="9"/>
      <c r="J549" s="9"/>
      <c r="K549" s="21">
        <f>SUM(R545:R548)</f>
        <v>553.99</v>
      </c>
      <c r="L549" s="21"/>
    </row>
    <row r="550" spans="1:22" ht="14.25" x14ac:dyDescent="0.2">
      <c r="A550" s="18"/>
      <c r="B550" s="18"/>
      <c r="C550" s="18"/>
      <c r="D550" s="18" t="s">
        <v>735</v>
      </c>
      <c r="E550" s="19" t="s">
        <v>734</v>
      </c>
      <c r="F550" s="9">
        <f>Source!AU438</f>
        <v>10</v>
      </c>
      <c r="G550" s="21"/>
      <c r="H550" s="20"/>
      <c r="I550" s="9"/>
      <c r="J550" s="9"/>
      <c r="K550" s="21">
        <f>SUM(T545:T549)</f>
        <v>79.14</v>
      </c>
      <c r="L550" s="21"/>
    </row>
    <row r="551" spans="1:22" ht="14.25" x14ac:dyDescent="0.2">
      <c r="A551" s="18"/>
      <c r="B551" s="18"/>
      <c r="C551" s="18"/>
      <c r="D551" s="18" t="s">
        <v>736</v>
      </c>
      <c r="E551" s="19" t="s">
        <v>737</v>
      </c>
      <c r="F551" s="9">
        <f>Source!AQ438</f>
        <v>2.64</v>
      </c>
      <c r="G551" s="21"/>
      <c r="H551" s="20" t="str">
        <f>Source!DI438</f>
        <v/>
      </c>
      <c r="I551" s="9">
        <f>Source!AV438</f>
        <v>1</v>
      </c>
      <c r="J551" s="9"/>
      <c r="K551" s="21"/>
      <c r="L551" s="21">
        <f>Source!U438</f>
        <v>1.4784000000000002</v>
      </c>
    </row>
    <row r="552" spans="1:22" ht="15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51">
        <f>K547+K548+K549+K550</f>
        <v>1426.43</v>
      </c>
      <c r="K552" s="51"/>
      <c r="L552" s="24">
        <f>IF(Source!I438&lt;&gt;0, ROUND(J552/Source!I438, 2), 0)</f>
        <v>2547.1999999999998</v>
      </c>
      <c r="P552" s="22">
        <f>J552</f>
        <v>1426.43</v>
      </c>
    </row>
    <row r="553" spans="1:22" ht="71.25" x14ac:dyDescent="0.2">
      <c r="A553" s="18">
        <v>61</v>
      </c>
      <c r="B553" s="18">
        <v>61</v>
      </c>
      <c r="C553" s="18" t="str">
        <f>Source!F440</f>
        <v>1.21-2103-9-7/1</v>
      </c>
      <c r="D553" s="18" t="str">
        <f>Source!G440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E553" s="19" t="str">
        <f>Source!H440</f>
        <v>100 м</v>
      </c>
      <c r="F553" s="9">
        <f>Source!I440</f>
        <v>0.29899999999999999</v>
      </c>
      <c r="G553" s="21"/>
      <c r="H553" s="20"/>
      <c r="I553" s="9"/>
      <c r="J553" s="9"/>
      <c r="K553" s="21"/>
      <c r="L553" s="21"/>
      <c r="Q553">
        <f>ROUND((Source!BZ440/100)*ROUND((Source!AF440*Source!AV440)*Source!I440, 2), 2)</f>
        <v>1633.56</v>
      </c>
      <c r="R553">
        <f>Source!X440</f>
        <v>1633.56</v>
      </c>
      <c r="S553">
        <f>ROUND((Source!CA440/100)*ROUND((Source!AF440*Source!AV440)*Source!I440, 2), 2)</f>
        <v>233.37</v>
      </c>
      <c r="T553">
        <f>Source!Y440</f>
        <v>233.37</v>
      </c>
      <c r="U553">
        <f>ROUND((175/100)*ROUND((Source!AE440*Source!AV440)*Source!I440, 2), 2)</f>
        <v>0</v>
      </c>
      <c r="V553">
        <f>ROUND((108/100)*ROUND(Source!CS440*Source!I440, 2), 2)</f>
        <v>0</v>
      </c>
    </row>
    <row r="554" spans="1:22" ht="38.25" x14ac:dyDescent="0.2">
      <c r="D554" s="25" t="str">
        <f>"Объем: "&amp;Source!I440&amp;"=(415+"&amp;"175+"&amp;"210+"&amp;"560+"&amp;"25+"&amp;"30+"&amp;"80)*"&amp;"0,2*"&amp;"0,1/"&amp;"100"</f>
        <v>Объем: 0,299=(415+175+210+560+25+30+80)*0,2*0,1/100</v>
      </c>
    </row>
    <row r="555" spans="1:22" ht="14.25" x14ac:dyDescent="0.2">
      <c r="A555" s="18"/>
      <c r="B555" s="18"/>
      <c r="C555" s="18"/>
      <c r="D555" s="18" t="s">
        <v>731</v>
      </c>
      <c r="E555" s="19"/>
      <c r="F555" s="9"/>
      <c r="G555" s="21">
        <f>Source!AO440</f>
        <v>7804.89</v>
      </c>
      <c r="H555" s="20" t="str">
        <f>Source!DG440</f>
        <v/>
      </c>
      <c r="I555" s="9">
        <f>Source!AV440</f>
        <v>1</v>
      </c>
      <c r="J555" s="9">
        <f>IF(Source!BA440&lt;&gt; 0, Source!BA440, 1)</f>
        <v>1</v>
      </c>
      <c r="K555" s="21">
        <f>Source!S440</f>
        <v>2333.66</v>
      </c>
      <c r="L555" s="21"/>
    </row>
    <row r="556" spans="1:22" ht="14.25" x14ac:dyDescent="0.2">
      <c r="A556" s="18"/>
      <c r="B556" s="18"/>
      <c r="C556" s="18"/>
      <c r="D556" s="18" t="s">
        <v>732</v>
      </c>
      <c r="E556" s="19"/>
      <c r="F556" s="9"/>
      <c r="G556" s="21">
        <f>Source!AL440</f>
        <v>19.13</v>
      </c>
      <c r="H556" s="20" t="str">
        <f>Source!DD440</f>
        <v/>
      </c>
      <c r="I556" s="9">
        <f>Source!AW440</f>
        <v>1</v>
      </c>
      <c r="J556" s="9">
        <f>IF(Source!BC440&lt;&gt; 0, Source!BC440, 1)</f>
        <v>1</v>
      </c>
      <c r="K556" s="21">
        <f>Source!P440</f>
        <v>5.72</v>
      </c>
      <c r="L556" s="21"/>
    </row>
    <row r="557" spans="1:22" ht="14.25" x14ac:dyDescent="0.2">
      <c r="A557" s="18"/>
      <c r="B557" s="18"/>
      <c r="C557" s="18"/>
      <c r="D557" s="18" t="s">
        <v>733</v>
      </c>
      <c r="E557" s="19" t="s">
        <v>734</v>
      </c>
      <c r="F557" s="9">
        <f>Source!AT440</f>
        <v>70</v>
      </c>
      <c r="G557" s="21"/>
      <c r="H557" s="20"/>
      <c r="I557" s="9"/>
      <c r="J557" s="9"/>
      <c r="K557" s="21">
        <f>SUM(R553:R556)</f>
        <v>1633.56</v>
      </c>
      <c r="L557" s="21"/>
    </row>
    <row r="558" spans="1:22" ht="14.25" x14ac:dyDescent="0.2">
      <c r="A558" s="18"/>
      <c r="B558" s="18"/>
      <c r="C558" s="18"/>
      <c r="D558" s="18" t="s">
        <v>735</v>
      </c>
      <c r="E558" s="19" t="s">
        <v>734</v>
      </c>
      <c r="F558" s="9">
        <f>Source!AU440</f>
        <v>10</v>
      </c>
      <c r="G558" s="21"/>
      <c r="H558" s="20"/>
      <c r="I558" s="9"/>
      <c r="J558" s="9"/>
      <c r="K558" s="21">
        <f>SUM(T553:T557)</f>
        <v>233.37</v>
      </c>
      <c r="L558" s="21"/>
    </row>
    <row r="559" spans="1:22" ht="14.25" x14ac:dyDescent="0.2">
      <c r="A559" s="18"/>
      <c r="B559" s="18"/>
      <c r="C559" s="18"/>
      <c r="D559" s="18" t="s">
        <v>736</v>
      </c>
      <c r="E559" s="19" t="s">
        <v>737</v>
      </c>
      <c r="F559" s="9">
        <f>Source!AQ440</f>
        <v>14.58</v>
      </c>
      <c r="G559" s="21"/>
      <c r="H559" s="20" t="str">
        <f>Source!DI440</f>
        <v/>
      </c>
      <c r="I559" s="9">
        <f>Source!AV440</f>
        <v>1</v>
      </c>
      <c r="J559" s="9"/>
      <c r="K559" s="21"/>
      <c r="L559" s="21">
        <f>Source!U440</f>
        <v>4.3594200000000001</v>
      </c>
    </row>
    <row r="560" spans="1:22" ht="15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51">
        <f>K555+K556+K557+K558</f>
        <v>4206.3099999999995</v>
      </c>
      <c r="K560" s="51"/>
      <c r="L560" s="24">
        <f>IF(Source!I440&lt;&gt;0, ROUND(J560/Source!I440, 2), 0)</f>
        <v>14067.93</v>
      </c>
      <c r="P560" s="22">
        <f>J560</f>
        <v>4206.3099999999995</v>
      </c>
    </row>
    <row r="561" spans="1:22" ht="71.25" x14ac:dyDescent="0.2">
      <c r="A561" s="18">
        <v>62</v>
      </c>
      <c r="B561" s="18">
        <v>62</v>
      </c>
      <c r="C561" s="18" t="str">
        <f>Source!F441</f>
        <v>1.21-2103-9-8/1</v>
      </c>
      <c r="D561" s="18" t="str">
        <f>Source!G441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E561" s="19" t="str">
        <f>Source!H441</f>
        <v>100 м</v>
      </c>
      <c r="F561" s="9">
        <f>Source!I441</f>
        <v>0.29899999999999999</v>
      </c>
      <c r="G561" s="21"/>
      <c r="H561" s="20"/>
      <c r="I561" s="9"/>
      <c r="J561" s="9"/>
      <c r="K561" s="21"/>
      <c r="L561" s="21"/>
      <c r="Q561">
        <f>ROUND((Source!BZ441/100)*ROUND((Source!AF441*Source!AV441)*Source!I441, 2), 2)</f>
        <v>363.01</v>
      </c>
      <c r="R561">
        <f>Source!X441</f>
        <v>363.01</v>
      </c>
      <c r="S561">
        <f>ROUND((Source!CA441/100)*ROUND((Source!AF441*Source!AV441)*Source!I441, 2), 2)</f>
        <v>51.86</v>
      </c>
      <c r="T561">
        <f>Source!Y441</f>
        <v>51.86</v>
      </c>
      <c r="U561">
        <f>ROUND((175/100)*ROUND((Source!AE441*Source!AV441)*Source!I441, 2), 2)</f>
        <v>0</v>
      </c>
      <c r="V561">
        <f>ROUND((108/100)*ROUND(Source!CS441*Source!I441, 2), 2)</f>
        <v>0</v>
      </c>
    </row>
    <row r="562" spans="1:22" ht="38.25" x14ac:dyDescent="0.2">
      <c r="D562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63" spans="1:22" ht="14.25" x14ac:dyDescent="0.2">
      <c r="A563" s="18"/>
      <c r="B563" s="18"/>
      <c r="C563" s="18"/>
      <c r="D563" s="18" t="s">
        <v>731</v>
      </c>
      <c r="E563" s="19"/>
      <c r="F563" s="9"/>
      <c r="G563" s="21">
        <f>Source!AO441</f>
        <v>1734.42</v>
      </c>
      <c r="H563" s="20" t="str">
        <f>Source!DG441</f>
        <v/>
      </c>
      <c r="I563" s="9">
        <f>Source!AV441</f>
        <v>1</v>
      </c>
      <c r="J563" s="9">
        <f>IF(Source!BA441&lt;&gt; 0, Source!BA441, 1)</f>
        <v>1</v>
      </c>
      <c r="K563" s="21">
        <f>Source!S441</f>
        <v>518.59</v>
      </c>
      <c r="L563" s="21"/>
    </row>
    <row r="564" spans="1:22" ht="14.25" x14ac:dyDescent="0.2">
      <c r="A564" s="18"/>
      <c r="B564" s="18"/>
      <c r="C564" s="18"/>
      <c r="D564" s="18" t="s">
        <v>732</v>
      </c>
      <c r="E564" s="19"/>
      <c r="F564" s="9"/>
      <c r="G564" s="21">
        <f>Source!AL441</f>
        <v>4.13</v>
      </c>
      <c r="H564" s="20" t="str">
        <f>Source!DD441</f>
        <v/>
      </c>
      <c r="I564" s="9">
        <f>Source!AW441</f>
        <v>1</v>
      </c>
      <c r="J564" s="9">
        <f>IF(Source!BC441&lt;&gt; 0, Source!BC441, 1)</f>
        <v>1</v>
      </c>
      <c r="K564" s="21">
        <f>Source!P441</f>
        <v>1.23</v>
      </c>
      <c r="L564" s="21"/>
    </row>
    <row r="565" spans="1:22" ht="14.25" x14ac:dyDescent="0.2">
      <c r="A565" s="18"/>
      <c r="B565" s="18"/>
      <c r="C565" s="18"/>
      <c r="D565" s="18" t="s">
        <v>733</v>
      </c>
      <c r="E565" s="19" t="s">
        <v>734</v>
      </c>
      <c r="F565" s="9">
        <f>Source!AT441</f>
        <v>70</v>
      </c>
      <c r="G565" s="21"/>
      <c r="H565" s="20"/>
      <c r="I565" s="9"/>
      <c r="J565" s="9"/>
      <c r="K565" s="21">
        <f>SUM(R561:R564)</f>
        <v>363.01</v>
      </c>
      <c r="L565" s="21"/>
    </row>
    <row r="566" spans="1:22" ht="14.25" x14ac:dyDescent="0.2">
      <c r="A566" s="18"/>
      <c r="B566" s="18"/>
      <c r="C566" s="18"/>
      <c r="D566" s="18" t="s">
        <v>735</v>
      </c>
      <c r="E566" s="19" t="s">
        <v>734</v>
      </c>
      <c r="F566" s="9">
        <f>Source!AU441</f>
        <v>10</v>
      </c>
      <c r="G566" s="21"/>
      <c r="H566" s="20"/>
      <c r="I566" s="9"/>
      <c r="J566" s="9"/>
      <c r="K566" s="21">
        <f>SUM(T561:T565)</f>
        <v>51.86</v>
      </c>
      <c r="L566" s="21"/>
    </row>
    <row r="567" spans="1:22" ht="14.25" x14ac:dyDescent="0.2">
      <c r="A567" s="18"/>
      <c r="B567" s="18"/>
      <c r="C567" s="18"/>
      <c r="D567" s="18" t="s">
        <v>736</v>
      </c>
      <c r="E567" s="19" t="s">
        <v>737</v>
      </c>
      <c r="F567" s="9">
        <f>Source!AQ441</f>
        <v>3.24</v>
      </c>
      <c r="G567" s="21"/>
      <c r="H567" s="20" t="str">
        <f>Source!DI441</f>
        <v/>
      </c>
      <c r="I567" s="9">
        <f>Source!AV441</f>
        <v>1</v>
      </c>
      <c r="J567" s="9"/>
      <c r="K567" s="21"/>
      <c r="L567" s="21">
        <f>Source!U441</f>
        <v>0.96876000000000007</v>
      </c>
    </row>
    <row r="568" spans="1:22" ht="15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51">
        <f>K563+K564+K565+K566</f>
        <v>934.69</v>
      </c>
      <c r="K568" s="51"/>
      <c r="L568" s="24">
        <f>IF(Source!I441&lt;&gt;0, ROUND(J568/Source!I441, 2), 0)</f>
        <v>3126.05</v>
      </c>
      <c r="P568" s="22">
        <f>J568</f>
        <v>934.69</v>
      </c>
    </row>
    <row r="570" spans="1:22" ht="15" x14ac:dyDescent="0.25">
      <c r="C570" s="52" t="str">
        <f>Source!G443</f>
        <v>Система антиобледенения кровли</v>
      </c>
      <c r="D570" s="52"/>
      <c r="E570" s="52"/>
      <c r="F570" s="52"/>
      <c r="G570" s="52"/>
      <c r="H570" s="52"/>
      <c r="I570" s="52"/>
      <c r="J570" s="52"/>
      <c r="K570" s="52"/>
    </row>
    <row r="571" spans="1:22" ht="99.75" x14ac:dyDescent="0.2">
      <c r="A571" s="18">
        <v>63</v>
      </c>
      <c r="B571" s="18">
        <v>63</v>
      </c>
      <c r="C571" s="18" t="str">
        <f>Source!F444</f>
        <v>1.23-2303-5-1/1</v>
      </c>
      <c r="D571" s="18" t="str">
        <f>Source!G444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E571" s="19" t="str">
        <f>Source!H444</f>
        <v>шт.</v>
      </c>
      <c r="F571" s="9">
        <f>Source!I444</f>
        <v>2</v>
      </c>
      <c r="G571" s="21"/>
      <c r="H571" s="20"/>
      <c r="I571" s="9"/>
      <c r="J571" s="9"/>
      <c r="K571" s="21"/>
      <c r="L571" s="21"/>
      <c r="Q571">
        <f>ROUND((Source!BZ444/100)*ROUND((Source!AF444*Source!AV444)*Source!I444, 2), 2)</f>
        <v>2284.0700000000002</v>
      </c>
      <c r="R571">
        <f>Source!X444</f>
        <v>2284.0700000000002</v>
      </c>
      <c r="S571">
        <f>ROUND((Source!CA444/100)*ROUND((Source!AF444*Source!AV444)*Source!I444, 2), 2)</f>
        <v>326.3</v>
      </c>
      <c r="T571">
        <f>Source!Y444</f>
        <v>326.3</v>
      </c>
      <c r="U571">
        <f>ROUND((175/100)*ROUND((Source!AE444*Source!AV444)*Source!I444, 2), 2)</f>
        <v>0</v>
      </c>
      <c r="V571">
        <f>ROUND((108/100)*ROUND(Source!CS444*Source!I444, 2), 2)</f>
        <v>0</v>
      </c>
    </row>
    <row r="572" spans="1:22" ht="14.25" x14ac:dyDescent="0.2">
      <c r="A572" s="18"/>
      <c r="B572" s="18"/>
      <c r="C572" s="18"/>
      <c r="D572" s="18" t="s">
        <v>731</v>
      </c>
      <c r="E572" s="19"/>
      <c r="F572" s="9"/>
      <c r="G572" s="21">
        <f>Source!AO444</f>
        <v>815.74</v>
      </c>
      <c r="H572" s="20" t="str">
        <f>Source!DG444</f>
        <v>)*2</v>
      </c>
      <c r="I572" s="9">
        <f>Source!AV444</f>
        <v>1</v>
      </c>
      <c r="J572" s="9">
        <f>IF(Source!BA444&lt;&gt; 0, Source!BA444, 1)</f>
        <v>1</v>
      </c>
      <c r="K572" s="21">
        <f>Source!S444</f>
        <v>3262.96</v>
      </c>
      <c r="L572" s="21"/>
    </row>
    <row r="573" spans="1:22" ht="14.25" x14ac:dyDescent="0.2">
      <c r="A573" s="18"/>
      <c r="B573" s="18"/>
      <c r="C573" s="18"/>
      <c r="D573" s="18" t="s">
        <v>733</v>
      </c>
      <c r="E573" s="19" t="s">
        <v>734</v>
      </c>
      <c r="F573" s="9">
        <f>Source!AT444</f>
        <v>70</v>
      </c>
      <c r="G573" s="21"/>
      <c r="H573" s="20"/>
      <c r="I573" s="9"/>
      <c r="J573" s="9"/>
      <c r="K573" s="21">
        <f>SUM(R571:R572)</f>
        <v>2284.0700000000002</v>
      </c>
      <c r="L573" s="21"/>
    </row>
    <row r="574" spans="1:22" ht="14.25" x14ac:dyDescent="0.2">
      <c r="A574" s="18"/>
      <c r="B574" s="18"/>
      <c r="C574" s="18"/>
      <c r="D574" s="18" t="s">
        <v>735</v>
      </c>
      <c r="E574" s="19" t="s">
        <v>734</v>
      </c>
      <c r="F574" s="9">
        <f>Source!AU444</f>
        <v>10</v>
      </c>
      <c r="G574" s="21"/>
      <c r="H574" s="20"/>
      <c r="I574" s="9"/>
      <c r="J574" s="9"/>
      <c r="K574" s="21">
        <f>SUM(T571:T573)</f>
        <v>326.3</v>
      </c>
      <c r="L574" s="21"/>
    </row>
    <row r="575" spans="1:22" ht="14.25" x14ac:dyDescent="0.2">
      <c r="A575" s="18"/>
      <c r="B575" s="18"/>
      <c r="C575" s="18"/>
      <c r="D575" s="18" t="s">
        <v>736</v>
      </c>
      <c r="E575" s="19" t="s">
        <v>737</v>
      </c>
      <c r="F575" s="9">
        <f>Source!AQ444</f>
        <v>1.06</v>
      </c>
      <c r="G575" s="21"/>
      <c r="H575" s="20" t="str">
        <f>Source!DI444</f>
        <v>)*2</v>
      </c>
      <c r="I575" s="9">
        <f>Source!AV444</f>
        <v>1</v>
      </c>
      <c r="J575" s="9"/>
      <c r="K575" s="21"/>
      <c r="L575" s="21">
        <f>Source!U444</f>
        <v>4.24</v>
      </c>
    </row>
    <row r="576" spans="1:22" ht="15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51">
        <f>K572+K573+K574</f>
        <v>5873.3300000000008</v>
      </c>
      <c r="K576" s="51"/>
      <c r="L576" s="24">
        <f>IF(Source!I444&lt;&gt;0, ROUND(J576/Source!I444, 2), 0)</f>
        <v>2936.67</v>
      </c>
      <c r="P576" s="22">
        <f>J576</f>
        <v>5873.3300000000008</v>
      </c>
    </row>
    <row r="577" spans="1:22" ht="85.5" x14ac:dyDescent="0.2">
      <c r="A577" s="18">
        <v>64</v>
      </c>
      <c r="B577" s="18">
        <v>64</v>
      </c>
      <c r="C577" s="18" t="str">
        <f>Source!F446</f>
        <v>1.23-2103-9-8/1</v>
      </c>
      <c r="D577" s="18" t="str">
        <f>Source!G446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E577" s="19" t="str">
        <f>Source!H446</f>
        <v>шт.</v>
      </c>
      <c r="F577" s="9">
        <f>Source!I446</f>
        <v>2</v>
      </c>
      <c r="G577" s="21"/>
      <c r="H577" s="20"/>
      <c r="I577" s="9"/>
      <c r="J577" s="9"/>
      <c r="K577" s="21"/>
      <c r="L577" s="21"/>
      <c r="Q577">
        <f>ROUND((Source!BZ446/100)*ROUND((Source!AF446*Source!AV446)*Source!I446, 2), 2)</f>
        <v>1417.75</v>
      </c>
      <c r="R577">
        <f>Source!X446</f>
        <v>1417.75</v>
      </c>
      <c r="S577">
        <f>ROUND((Source!CA446/100)*ROUND((Source!AF446*Source!AV446)*Source!I446, 2), 2)</f>
        <v>202.54</v>
      </c>
      <c r="T577">
        <f>Source!Y446</f>
        <v>202.54</v>
      </c>
      <c r="U577">
        <f>ROUND((175/100)*ROUND((Source!AE446*Source!AV446)*Source!I446, 2), 2)</f>
        <v>0</v>
      </c>
      <c r="V577">
        <f>ROUND((108/100)*ROUND(Source!CS446*Source!I446, 2), 2)</f>
        <v>0</v>
      </c>
    </row>
    <row r="578" spans="1:22" ht="14.25" x14ac:dyDescent="0.2">
      <c r="A578" s="18"/>
      <c r="B578" s="18"/>
      <c r="C578" s="18"/>
      <c r="D578" s="18" t="s">
        <v>731</v>
      </c>
      <c r="E578" s="19"/>
      <c r="F578" s="9"/>
      <c r="G578" s="21">
        <f>Source!AO446</f>
        <v>506.34</v>
      </c>
      <c r="H578" s="20" t="str">
        <f>Source!DG446</f>
        <v>)*2</v>
      </c>
      <c r="I578" s="9">
        <f>Source!AV446</f>
        <v>1</v>
      </c>
      <c r="J578" s="9">
        <f>IF(Source!BA446&lt;&gt; 0, Source!BA446, 1)</f>
        <v>1</v>
      </c>
      <c r="K578" s="21">
        <f>Source!S446</f>
        <v>2025.36</v>
      </c>
      <c r="L578" s="21"/>
    </row>
    <row r="579" spans="1:22" ht="14.25" x14ac:dyDescent="0.2">
      <c r="A579" s="18"/>
      <c r="B579" s="18"/>
      <c r="C579" s="18"/>
      <c r="D579" s="18" t="s">
        <v>733</v>
      </c>
      <c r="E579" s="19" t="s">
        <v>734</v>
      </c>
      <c r="F579" s="9">
        <f>Source!AT446</f>
        <v>70</v>
      </c>
      <c r="G579" s="21"/>
      <c r="H579" s="20"/>
      <c r="I579" s="9"/>
      <c r="J579" s="9"/>
      <c r="K579" s="21">
        <f>SUM(R577:R578)</f>
        <v>1417.75</v>
      </c>
      <c r="L579" s="21"/>
    </row>
    <row r="580" spans="1:22" ht="14.25" x14ac:dyDescent="0.2">
      <c r="A580" s="18"/>
      <c r="B580" s="18"/>
      <c r="C580" s="18"/>
      <c r="D580" s="18" t="s">
        <v>735</v>
      </c>
      <c r="E580" s="19" t="s">
        <v>734</v>
      </c>
      <c r="F580" s="9">
        <f>Source!AU446</f>
        <v>10</v>
      </c>
      <c r="G580" s="21"/>
      <c r="H580" s="20"/>
      <c r="I580" s="9"/>
      <c r="J580" s="9"/>
      <c r="K580" s="21">
        <f>SUM(T577:T579)</f>
        <v>202.54</v>
      </c>
      <c r="L580" s="21"/>
    </row>
    <row r="581" spans="1:22" ht="14.25" x14ac:dyDescent="0.2">
      <c r="A581" s="18"/>
      <c r="B581" s="18"/>
      <c r="C581" s="18"/>
      <c r="D581" s="18" t="s">
        <v>736</v>
      </c>
      <c r="E581" s="19" t="s">
        <v>737</v>
      </c>
      <c r="F581" s="9">
        <f>Source!AQ446</f>
        <v>0.82</v>
      </c>
      <c r="G581" s="21"/>
      <c r="H581" s="20" t="str">
        <f>Source!DI446</f>
        <v>)*2</v>
      </c>
      <c r="I581" s="9">
        <f>Source!AV446</f>
        <v>1</v>
      </c>
      <c r="J581" s="9"/>
      <c r="K581" s="21"/>
      <c r="L581" s="21">
        <f>Source!U446</f>
        <v>3.28</v>
      </c>
    </row>
    <row r="582" spans="1:22" ht="15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51">
        <f>K578+K579+K580</f>
        <v>3645.6499999999996</v>
      </c>
      <c r="K582" s="51"/>
      <c r="L582" s="24">
        <f>IF(Source!I446&lt;&gt;0, ROUND(J582/Source!I446, 2), 0)</f>
        <v>1822.83</v>
      </c>
      <c r="P582" s="22">
        <f>J582</f>
        <v>3645.6499999999996</v>
      </c>
    </row>
    <row r="583" spans="1:22" ht="42.75" x14ac:dyDescent="0.2">
      <c r="A583" s="18">
        <v>65</v>
      </c>
      <c r="B583" s="18">
        <v>65</v>
      </c>
      <c r="C583" s="18" t="str">
        <f>Source!F447</f>
        <v>1.23-2103-15-1/1</v>
      </c>
      <c r="D583" s="18" t="str">
        <f>Source!G447</f>
        <v>Техническое обслуживание сигнализатора уровня /Датчик осадков КСТ-020 3,0</v>
      </c>
      <c r="E583" s="19" t="str">
        <f>Source!H447</f>
        <v>шт.</v>
      </c>
      <c r="F583" s="9">
        <f>Source!I447</f>
        <v>2</v>
      </c>
      <c r="G583" s="21"/>
      <c r="H583" s="20"/>
      <c r="I583" s="9"/>
      <c r="J583" s="9"/>
      <c r="K583" s="21"/>
      <c r="L583" s="21"/>
      <c r="Q583">
        <f>ROUND((Source!BZ447/100)*ROUND((Source!AF447*Source!AV447)*Source!I447, 2), 2)</f>
        <v>2136.71</v>
      </c>
      <c r="R583">
        <f>Source!X447</f>
        <v>2136.71</v>
      </c>
      <c r="S583">
        <f>ROUND((Source!CA447/100)*ROUND((Source!AF447*Source!AV447)*Source!I447, 2), 2)</f>
        <v>305.24</v>
      </c>
      <c r="T583">
        <f>Source!Y447</f>
        <v>305.24</v>
      </c>
      <c r="U583">
        <f>ROUND((175/100)*ROUND((Source!AE447*Source!AV447)*Source!I447, 2), 2)</f>
        <v>0</v>
      </c>
      <c r="V583">
        <f>ROUND((108/100)*ROUND(Source!CS447*Source!I447, 2), 2)</f>
        <v>0</v>
      </c>
    </row>
    <row r="584" spans="1:22" ht="14.25" x14ac:dyDescent="0.2">
      <c r="A584" s="18"/>
      <c r="B584" s="18"/>
      <c r="C584" s="18"/>
      <c r="D584" s="18" t="s">
        <v>731</v>
      </c>
      <c r="E584" s="19"/>
      <c r="F584" s="9"/>
      <c r="G584" s="21">
        <f>Source!AO447</f>
        <v>763.11</v>
      </c>
      <c r="H584" s="20" t="str">
        <f>Source!DG447</f>
        <v>)*2</v>
      </c>
      <c r="I584" s="9">
        <f>Source!AV447</f>
        <v>1</v>
      </c>
      <c r="J584" s="9">
        <f>IF(Source!BA447&lt;&gt; 0, Source!BA447, 1)</f>
        <v>1</v>
      </c>
      <c r="K584" s="21">
        <f>Source!S447</f>
        <v>3052.44</v>
      </c>
      <c r="L584" s="21"/>
    </row>
    <row r="585" spans="1:22" ht="14.25" x14ac:dyDescent="0.2">
      <c r="A585" s="18"/>
      <c r="B585" s="18"/>
      <c r="C585" s="18"/>
      <c r="D585" s="18" t="s">
        <v>732</v>
      </c>
      <c r="E585" s="19"/>
      <c r="F585" s="9"/>
      <c r="G585" s="21">
        <f>Source!AL447</f>
        <v>22.54</v>
      </c>
      <c r="H585" s="20" t="str">
        <f>Source!DD447</f>
        <v>)*2</v>
      </c>
      <c r="I585" s="9">
        <f>Source!AW447</f>
        <v>1</v>
      </c>
      <c r="J585" s="9">
        <f>IF(Source!BC447&lt;&gt; 0, Source!BC447, 1)</f>
        <v>1</v>
      </c>
      <c r="K585" s="21">
        <f>Source!P447</f>
        <v>90.16</v>
      </c>
      <c r="L585" s="21"/>
    </row>
    <row r="586" spans="1:22" ht="14.25" x14ac:dyDescent="0.2">
      <c r="A586" s="18"/>
      <c r="B586" s="18"/>
      <c r="C586" s="18"/>
      <c r="D586" s="18" t="s">
        <v>733</v>
      </c>
      <c r="E586" s="19" t="s">
        <v>734</v>
      </c>
      <c r="F586" s="9">
        <f>Source!AT447</f>
        <v>70</v>
      </c>
      <c r="G586" s="21"/>
      <c r="H586" s="20"/>
      <c r="I586" s="9"/>
      <c r="J586" s="9"/>
      <c r="K586" s="21">
        <f>SUM(R583:R585)</f>
        <v>2136.71</v>
      </c>
      <c r="L586" s="21"/>
    </row>
    <row r="587" spans="1:22" ht="14.25" x14ac:dyDescent="0.2">
      <c r="A587" s="18"/>
      <c r="B587" s="18"/>
      <c r="C587" s="18"/>
      <c r="D587" s="18" t="s">
        <v>735</v>
      </c>
      <c r="E587" s="19" t="s">
        <v>734</v>
      </c>
      <c r="F587" s="9">
        <f>Source!AU447</f>
        <v>10</v>
      </c>
      <c r="G587" s="21"/>
      <c r="H587" s="20"/>
      <c r="I587" s="9"/>
      <c r="J587" s="9"/>
      <c r="K587" s="21">
        <f>SUM(T583:T586)</f>
        <v>305.24</v>
      </c>
      <c r="L587" s="21"/>
    </row>
    <row r="588" spans="1:22" ht="14.25" x14ac:dyDescent="0.2">
      <c r="A588" s="18"/>
      <c r="B588" s="18"/>
      <c r="C588" s="18"/>
      <c r="D588" s="18" t="s">
        <v>736</v>
      </c>
      <c r="E588" s="19" t="s">
        <v>737</v>
      </c>
      <c r="F588" s="9">
        <f>Source!AQ447</f>
        <v>0.92</v>
      </c>
      <c r="G588" s="21"/>
      <c r="H588" s="20" t="str">
        <f>Source!DI447</f>
        <v>)*2</v>
      </c>
      <c r="I588" s="9">
        <f>Source!AV447</f>
        <v>1</v>
      </c>
      <c r="J588" s="9"/>
      <c r="K588" s="21"/>
      <c r="L588" s="21">
        <f>Source!U447</f>
        <v>3.68</v>
      </c>
    </row>
    <row r="589" spans="1:22" ht="15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51">
        <f>K584+K585+K586+K587</f>
        <v>5584.5499999999993</v>
      </c>
      <c r="K589" s="51"/>
      <c r="L589" s="24">
        <f>IF(Source!I447&lt;&gt;0, ROUND(J589/Source!I447, 2), 0)</f>
        <v>2792.28</v>
      </c>
      <c r="P589" s="22">
        <f>J589</f>
        <v>5584.5499999999993</v>
      </c>
    </row>
    <row r="590" spans="1:22" ht="57" x14ac:dyDescent="0.2">
      <c r="A590" s="18">
        <v>66</v>
      </c>
      <c r="B590" s="18">
        <v>66</v>
      </c>
      <c r="C590" s="18" t="str">
        <f>Source!F448</f>
        <v>1.21-2103-9-2/1</v>
      </c>
      <c r="D590" s="18" t="str">
        <f>Source!G448</f>
        <v>Техническое обслуживание силовых сетей, проложенных по кирпичным и бетонным основаниям, провод сечением 3х1,5-6 мм2</v>
      </c>
      <c r="E590" s="19" t="str">
        <f>Source!H448</f>
        <v>100 м</v>
      </c>
      <c r="F590" s="9">
        <f>Source!I448</f>
        <v>0.05</v>
      </c>
      <c r="G590" s="21"/>
      <c r="H590" s="20"/>
      <c r="I590" s="9"/>
      <c r="J590" s="9"/>
      <c r="K590" s="21"/>
      <c r="L590" s="21"/>
      <c r="Q590">
        <f>ROUND((Source!BZ448/100)*ROUND((Source!AF448*Source!AV448)*Source!I448, 2), 2)</f>
        <v>187.36</v>
      </c>
      <c r="R590">
        <f>Source!X448</f>
        <v>187.36</v>
      </c>
      <c r="S590">
        <f>ROUND((Source!CA448/100)*ROUND((Source!AF448*Source!AV448)*Source!I448, 2), 2)</f>
        <v>26.77</v>
      </c>
      <c r="T590">
        <f>Source!Y448</f>
        <v>26.77</v>
      </c>
      <c r="U590">
        <f>ROUND((175/100)*ROUND((Source!AE448*Source!AV448)*Source!I448, 2), 2)</f>
        <v>0</v>
      </c>
      <c r="V590">
        <f>ROUND((108/100)*ROUND(Source!CS448*Source!I448, 2), 2)</f>
        <v>0</v>
      </c>
    </row>
    <row r="591" spans="1:22" x14ac:dyDescent="0.2">
      <c r="D591" s="25" t="str">
        <f>"Объем: "&amp;Source!I448&amp;"=(250)*"&amp;"0,2*"&amp;"0,1/"&amp;"100"</f>
        <v>Объем: 0,05=(250)*0,2*0,1/100</v>
      </c>
    </row>
    <row r="592" spans="1:22" ht="14.25" x14ac:dyDescent="0.2">
      <c r="A592" s="18"/>
      <c r="B592" s="18"/>
      <c r="C592" s="18"/>
      <c r="D592" s="18" t="s">
        <v>731</v>
      </c>
      <c r="E592" s="19"/>
      <c r="F592" s="9"/>
      <c r="G592" s="21">
        <f>Source!AO448</f>
        <v>5353.15</v>
      </c>
      <c r="H592" s="20" t="str">
        <f>Source!DG448</f>
        <v/>
      </c>
      <c r="I592" s="9">
        <f>Source!AV448</f>
        <v>1</v>
      </c>
      <c r="J592" s="9">
        <f>IF(Source!BA448&lt;&gt; 0, Source!BA448, 1)</f>
        <v>1</v>
      </c>
      <c r="K592" s="21">
        <f>Source!S448</f>
        <v>267.66000000000003</v>
      </c>
      <c r="L592" s="21"/>
    </row>
    <row r="593" spans="1:22" ht="14.25" x14ac:dyDescent="0.2">
      <c r="A593" s="18"/>
      <c r="B593" s="18"/>
      <c r="C593" s="18"/>
      <c r="D593" s="18" t="s">
        <v>732</v>
      </c>
      <c r="E593" s="19"/>
      <c r="F593" s="9"/>
      <c r="G593" s="21">
        <f>Source!AL448</f>
        <v>22.51</v>
      </c>
      <c r="H593" s="20" t="str">
        <f>Source!DD448</f>
        <v/>
      </c>
      <c r="I593" s="9">
        <f>Source!AW448</f>
        <v>1</v>
      </c>
      <c r="J593" s="9">
        <f>IF(Source!BC448&lt;&gt; 0, Source!BC448, 1)</f>
        <v>1</v>
      </c>
      <c r="K593" s="21">
        <f>Source!P448</f>
        <v>1.1299999999999999</v>
      </c>
      <c r="L593" s="21"/>
    </row>
    <row r="594" spans="1:22" ht="14.25" x14ac:dyDescent="0.2">
      <c r="A594" s="18"/>
      <c r="B594" s="18"/>
      <c r="C594" s="18"/>
      <c r="D594" s="18" t="s">
        <v>733</v>
      </c>
      <c r="E594" s="19" t="s">
        <v>734</v>
      </c>
      <c r="F594" s="9">
        <f>Source!AT448</f>
        <v>70</v>
      </c>
      <c r="G594" s="21"/>
      <c r="H594" s="20"/>
      <c r="I594" s="9"/>
      <c r="J594" s="9"/>
      <c r="K594" s="21">
        <f>SUM(R590:R593)</f>
        <v>187.36</v>
      </c>
      <c r="L594" s="21"/>
    </row>
    <row r="595" spans="1:22" ht="14.25" x14ac:dyDescent="0.2">
      <c r="A595" s="18"/>
      <c r="B595" s="18"/>
      <c r="C595" s="18"/>
      <c r="D595" s="18" t="s">
        <v>735</v>
      </c>
      <c r="E595" s="19" t="s">
        <v>734</v>
      </c>
      <c r="F595" s="9">
        <f>Source!AU448</f>
        <v>10</v>
      </c>
      <c r="G595" s="21"/>
      <c r="H595" s="20"/>
      <c r="I595" s="9"/>
      <c r="J595" s="9"/>
      <c r="K595" s="21">
        <f>SUM(T590:T594)</f>
        <v>26.77</v>
      </c>
      <c r="L595" s="21"/>
    </row>
    <row r="596" spans="1:22" ht="14.25" x14ac:dyDescent="0.2">
      <c r="A596" s="18"/>
      <c r="B596" s="18"/>
      <c r="C596" s="18"/>
      <c r="D596" s="18" t="s">
        <v>736</v>
      </c>
      <c r="E596" s="19" t="s">
        <v>737</v>
      </c>
      <c r="F596" s="9">
        <f>Source!AQ448</f>
        <v>10</v>
      </c>
      <c r="G596" s="21"/>
      <c r="H596" s="20" t="str">
        <f>Source!DI448</f>
        <v/>
      </c>
      <c r="I596" s="9">
        <f>Source!AV448</f>
        <v>1</v>
      </c>
      <c r="J596" s="9"/>
      <c r="K596" s="21"/>
      <c r="L596" s="21">
        <f>Source!U448</f>
        <v>0.5</v>
      </c>
    </row>
    <row r="597" spans="1:22" ht="15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51">
        <f>K592+K593+K594+K595</f>
        <v>482.92</v>
      </c>
      <c r="K597" s="51"/>
      <c r="L597" s="24">
        <f>IF(Source!I448&lt;&gt;0, ROUND(J597/Source!I448, 2), 0)</f>
        <v>9658.4</v>
      </c>
      <c r="P597" s="22">
        <f>J597</f>
        <v>482.92</v>
      </c>
    </row>
    <row r="599" spans="1:22" ht="15" x14ac:dyDescent="0.25">
      <c r="A599" s="54" t="str">
        <f>CONCATENATE("Итого по подразделу: ",IF(Source!G451&lt;&gt;"Новый подраздел", Source!G451, ""))</f>
        <v>Итого по подразделу: 4.4  Кабельно-проводниковая продукция</v>
      </c>
      <c r="B599" s="54"/>
      <c r="C599" s="54"/>
      <c r="D599" s="54"/>
      <c r="E599" s="54"/>
      <c r="F599" s="54"/>
      <c r="G599" s="54"/>
      <c r="H599" s="54"/>
      <c r="I599" s="54"/>
      <c r="J599" s="53">
        <f>SUM(P512:P598)</f>
        <v>77096.869999999981</v>
      </c>
      <c r="K599" s="71"/>
      <c r="L599" s="26"/>
    </row>
    <row r="602" spans="1:22" ht="16.5" x14ac:dyDescent="0.25">
      <c r="A602" s="50" t="str">
        <f>CONCATENATE("Подраздел: ",IF(Source!G481&lt;&gt;"Новый подраздел", Source!G481, ""))</f>
        <v>Подраздел: 4.5  Электроустановочные изделия</v>
      </c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</row>
    <row r="603" spans="1:22" ht="71.25" x14ac:dyDescent="0.2">
      <c r="A603" s="18">
        <v>67</v>
      </c>
      <c r="B603" s="18">
        <v>67</v>
      </c>
      <c r="C603" s="18" t="str">
        <f>Source!F486</f>
        <v>1.21-2303-37-1/1</v>
      </c>
      <c r="D603" s="18" t="str">
        <f>Source!G486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03" s="19" t="str">
        <f>Source!H486</f>
        <v>10 шт.</v>
      </c>
      <c r="F603" s="9">
        <f>Source!I486</f>
        <v>4</v>
      </c>
      <c r="G603" s="21"/>
      <c r="H603" s="20"/>
      <c r="I603" s="9"/>
      <c r="J603" s="9"/>
      <c r="K603" s="21"/>
      <c r="L603" s="21"/>
      <c r="Q603">
        <f>ROUND((Source!BZ486/100)*ROUND((Source!AF486*Source!AV486)*Source!I486, 2), 2)</f>
        <v>311.22000000000003</v>
      </c>
      <c r="R603">
        <f>Source!X486</f>
        <v>311.22000000000003</v>
      </c>
      <c r="S603">
        <f>ROUND((Source!CA486/100)*ROUND((Source!AF486*Source!AV486)*Source!I486, 2), 2)</f>
        <v>44.46</v>
      </c>
      <c r="T603">
        <f>Source!Y486</f>
        <v>44.46</v>
      </c>
      <c r="U603">
        <f>ROUND((175/100)*ROUND((Source!AE486*Source!AV486)*Source!I486, 2), 2)</f>
        <v>0</v>
      </c>
      <c r="V603">
        <f>ROUND((108/100)*ROUND(Source!CS486*Source!I486, 2), 2)</f>
        <v>0</v>
      </c>
    </row>
    <row r="604" spans="1:22" x14ac:dyDescent="0.2">
      <c r="D604" s="25" t="str">
        <f>"Объем: "&amp;Source!I486&amp;"=(28+"&amp;"7+"&amp;"4+"&amp;"1)/"&amp;"10"</f>
        <v>Объем: 4=(28+7+4+1)/10</v>
      </c>
    </row>
    <row r="605" spans="1:22" ht="14.25" x14ac:dyDescent="0.2">
      <c r="A605" s="18"/>
      <c r="B605" s="18"/>
      <c r="C605" s="18"/>
      <c r="D605" s="18" t="s">
        <v>731</v>
      </c>
      <c r="E605" s="19"/>
      <c r="F605" s="9"/>
      <c r="G605" s="21">
        <f>Source!AO486</f>
        <v>111.15</v>
      </c>
      <c r="H605" s="20" t="str">
        <f>Source!DG486</f>
        <v/>
      </c>
      <c r="I605" s="9">
        <f>Source!AV486</f>
        <v>1</v>
      </c>
      <c r="J605" s="9">
        <f>IF(Source!BA486&lt;&gt; 0, Source!BA486, 1)</f>
        <v>1</v>
      </c>
      <c r="K605" s="21">
        <f>Source!S486</f>
        <v>444.6</v>
      </c>
      <c r="L605" s="21"/>
    </row>
    <row r="606" spans="1:22" ht="14.25" x14ac:dyDescent="0.2">
      <c r="A606" s="18"/>
      <c r="B606" s="18"/>
      <c r="C606" s="18"/>
      <c r="D606" s="18" t="s">
        <v>732</v>
      </c>
      <c r="E606" s="19"/>
      <c r="F606" s="9"/>
      <c r="G606" s="21">
        <f>Source!AL486</f>
        <v>6.3</v>
      </c>
      <c r="H606" s="20" t="str">
        <f>Source!DD486</f>
        <v/>
      </c>
      <c r="I606" s="9">
        <f>Source!AW486</f>
        <v>1</v>
      </c>
      <c r="J606" s="9">
        <f>IF(Source!BC486&lt;&gt; 0, Source!BC486, 1)</f>
        <v>1</v>
      </c>
      <c r="K606" s="21">
        <f>Source!P486</f>
        <v>25.2</v>
      </c>
      <c r="L606" s="21"/>
    </row>
    <row r="607" spans="1:22" ht="14.25" x14ac:dyDescent="0.2">
      <c r="A607" s="18"/>
      <c r="B607" s="18"/>
      <c r="C607" s="18"/>
      <c r="D607" s="18" t="s">
        <v>733</v>
      </c>
      <c r="E607" s="19" t="s">
        <v>734</v>
      </c>
      <c r="F607" s="9">
        <f>Source!AT486</f>
        <v>70</v>
      </c>
      <c r="G607" s="21"/>
      <c r="H607" s="20"/>
      <c r="I607" s="9"/>
      <c r="J607" s="9"/>
      <c r="K607" s="21">
        <f>SUM(R603:R606)</f>
        <v>311.22000000000003</v>
      </c>
      <c r="L607" s="21"/>
    </row>
    <row r="608" spans="1:22" ht="14.25" x14ac:dyDescent="0.2">
      <c r="A608" s="18"/>
      <c r="B608" s="18"/>
      <c r="C608" s="18"/>
      <c r="D608" s="18" t="s">
        <v>735</v>
      </c>
      <c r="E608" s="19" t="s">
        <v>734</v>
      </c>
      <c r="F608" s="9">
        <f>Source!AU486</f>
        <v>10</v>
      </c>
      <c r="G608" s="21"/>
      <c r="H608" s="20"/>
      <c r="I608" s="9"/>
      <c r="J608" s="9"/>
      <c r="K608" s="21">
        <f>SUM(T603:T607)</f>
        <v>44.46</v>
      </c>
      <c r="L608" s="21"/>
    </row>
    <row r="609" spans="1:22" ht="14.25" x14ac:dyDescent="0.2">
      <c r="A609" s="18"/>
      <c r="B609" s="18"/>
      <c r="C609" s="18"/>
      <c r="D609" s="18" t="s">
        <v>736</v>
      </c>
      <c r="E609" s="19" t="s">
        <v>737</v>
      </c>
      <c r="F609" s="9">
        <f>Source!AQ486</f>
        <v>0.18</v>
      </c>
      <c r="G609" s="21"/>
      <c r="H609" s="20" t="str">
        <f>Source!DI486</f>
        <v/>
      </c>
      <c r="I609" s="9">
        <f>Source!AV486</f>
        <v>1</v>
      </c>
      <c r="J609" s="9"/>
      <c r="K609" s="21"/>
      <c r="L609" s="21">
        <f>Source!U486</f>
        <v>0.72</v>
      </c>
    </row>
    <row r="610" spans="1:22" ht="15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51">
        <f>K605+K606+K607+K608</f>
        <v>825.48</v>
      </c>
      <c r="K610" s="51"/>
      <c r="L610" s="24">
        <f>IF(Source!I486&lt;&gt;0, ROUND(J610/Source!I486, 2), 0)</f>
        <v>206.37</v>
      </c>
      <c r="P610" s="22">
        <f>J610</f>
        <v>825.48</v>
      </c>
    </row>
    <row r="612" spans="1:22" ht="15" x14ac:dyDescent="0.25">
      <c r="A612" s="54" t="str">
        <f>CONCATENATE("Итого по подразделу: ",IF(Source!G490&lt;&gt;"Новый подраздел", Source!G490, ""))</f>
        <v>Итого по подразделу: 4.5  Электроустановочные изделия</v>
      </c>
      <c r="B612" s="54"/>
      <c r="C612" s="54"/>
      <c r="D612" s="54"/>
      <c r="E612" s="54"/>
      <c r="F612" s="54"/>
      <c r="G612" s="54"/>
      <c r="H612" s="54"/>
      <c r="I612" s="54"/>
      <c r="J612" s="53">
        <f>SUM(P602:P611)</f>
        <v>825.48</v>
      </c>
      <c r="K612" s="71"/>
      <c r="L612" s="26"/>
    </row>
    <row r="615" spans="1:22" ht="16.5" x14ac:dyDescent="0.25">
      <c r="A615" s="50" t="str">
        <f>CONCATENATE("Подраздел: ",IF(Source!G520&lt;&gt;"Новый подраздел", Source!G520, ""))</f>
        <v>Подраздел: 4.6  Щитовое оборудование</v>
      </c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</row>
    <row r="616" spans="1:22" ht="57" x14ac:dyDescent="0.2">
      <c r="A616" s="18">
        <v>68</v>
      </c>
      <c r="B616" s="18">
        <v>68</v>
      </c>
      <c r="C616" s="18" t="str">
        <f>Source!F524</f>
        <v>1.21-2203-2-5/1</v>
      </c>
      <c r="D616" s="18" t="str">
        <f>Source!G524</f>
        <v>Техническое обслуживание силового распределительного пункта с установочными автоматами, число групп 12 / ВРЩ</v>
      </c>
      <c r="E616" s="19" t="str">
        <f>Source!H524</f>
        <v>шт.</v>
      </c>
      <c r="F616" s="9">
        <f>Source!I524</f>
        <v>7</v>
      </c>
      <c r="G616" s="21"/>
      <c r="H616" s="20"/>
      <c r="I616" s="9"/>
      <c r="J616" s="9"/>
      <c r="K616" s="21"/>
      <c r="L616" s="21"/>
      <c r="Q616">
        <f>ROUND((Source!BZ524/100)*ROUND((Source!AF524*Source!AV524)*Source!I524, 2), 2)</f>
        <v>72616.820000000007</v>
      </c>
      <c r="R616">
        <f>Source!X524</f>
        <v>72616.820000000007</v>
      </c>
      <c r="S616">
        <f>ROUND((Source!CA524/100)*ROUND((Source!AF524*Source!AV524)*Source!I524, 2), 2)</f>
        <v>10373.83</v>
      </c>
      <c r="T616">
        <f>Source!Y524</f>
        <v>10373.83</v>
      </c>
      <c r="U616">
        <f>ROUND((175/100)*ROUND((Source!AE524*Source!AV524)*Source!I524, 2), 2)</f>
        <v>0</v>
      </c>
      <c r="V616">
        <f>ROUND((108/100)*ROUND(Source!CS524*Source!I524, 2), 2)</f>
        <v>0</v>
      </c>
    </row>
    <row r="617" spans="1:22" ht="14.25" x14ac:dyDescent="0.2">
      <c r="A617" s="18"/>
      <c r="B617" s="18"/>
      <c r="C617" s="18"/>
      <c r="D617" s="18" t="s">
        <v>731</v>
      </c>
      <c r="E617" s="19"/>
      <c r="F617" s="9"/>
      <c r="G617" s="21">
        <f>Source!AO524</f>
        <v>14819.76</v>
      </c>
      <c r="H617" s="20" t="str">
        <f>Source!DG524</f>
        <v/>
      </c>
      <c r="I617" s="9">
        <f>Source!AV524</f>
        <v>1</v>
      </c>
      <c r="J617" s="9">
        <f>IF(Source!BA524&lt;&gt; 0, Source!BA524, 1)</f>
        <v>1</v>
      </c>
      <c r="K617" s="21">
        <f>Source!S524</f>
        <v>103738.32</v>
      </c>
      <c r="L617" s="21"/>
    </row>
    <row r="618" spans="1:22" ht="14.25" x14ac:dyDescent="0.2">
      <c r="A618" s="18"/>
      <c r="B618" s="18"/>
      <c r="C618" s="18"/>
      <c r="D618" s="18" t="s">
        <v>732</v>
      </c>
      <c r="E618" s="19"/>
      <c r="F618" s="9"/>
      <c r="G618" s="21">
        <f>Source!AL524</f>
        <v>205.53</v>
      </c>
      <c r="H618" s="20" t="str">
        <f>Source!DD524</f>
        <v/>
      </c>
      <c r="I618" s="9">
        <f>Source!AW524</f>
        <v>1</v>
      </c>
      <c r="J618" s="9">
        <f>IF(Source!BC524&lt;&gt; 0, Source!BC524, 1)</f>
        <v>1</v>
      </c>
      <c r="K618" s="21">
        <f>Source!P524</f>
        <v>1438.71</v>
      </c>
      <c r="L618" s="21"/>
    </row>
    <row r="619" spans="1:22" ht="14.25" x14ac:dyDescent="0.2">
      <c r="A619" s="18"/>
      <c r="B619" s="18"/>
      <c r="C619" s="18"/>
      <c r="D619" s="18" t="s">
        <v>733</v>
      </c>
      <c r="E619" s="19" t="s">
        <v>734</v>
      </c>
      <c r="F619" s="9">
        <f>Source!AT524</f>
        <v>70</v>
      </c>
      <c r="G619" s="21"/>
      <c r="H619" s="20"/>
      <c r="I619" s="9"/>
      <c r="J619" s="9"/>
      <c r="K619" s="21">
        <f>SUM(R616:R618)</f>
        <v>72616.820000000007</v>
      </c>
      <c r="L619" s="21"/>
    </row>
    <row r="620" spans="1:22" ht="14.25" x14ac:dyDescent="0.2">
      <c r="A620" s="18"/>
      <c r="B620" s="18"/>
      <c r="C620" s="18"/>
      <c r="D620" s="18" t="s">
        <v>735</v>
      </c>
      <c r="E620" s="19" t="s">
        <v>734</v>
      </c>
      <c r="F620" s="9">
        <f>Source!AU524</f>
        <v>10</v>
      </c>
      <c r="G620" s="21"/>
      <c r="H620" s="20"/>
      <c r="I620" s="9"/>
      <c r="J620" s="9"/>
      <c r="K620" s="21">
        <f>SUM(T616:T619)</f>
        <v>10373.83</v>
      </c>
      <c r="L620" s="21"/>
    </row>
    <row r="621" spans="1:22" ht="14.25" x14ac:dyDescent="0.2">
      <c r="A621" s="18"/>
      <c r="B621" s="18"/>
      <c r="C621" s="18"/>
      <c r="D621" s="18" t="s">
        <v>736</v>
      </c>
      <c r="E621" s="19" t="s">
        <v>737</v>
      </c>
      <c r="F621" s="9">
        <f>Source!AQ524</f>
        <v>24</v>
      </c>
      <c r="G621" s="21"/>
      <c r="H621" s="20" t="str">
        <f>Source!DI524</f>
        <v/>
      </c>
      <c r="I621" s="9">
        <f>Source!AV524</f>
        <v>1</v>
      </c>
      <c r="J621" s="9"/>
      <c r="K621" s="21"/>
      <c r="L621" s="21">
        <f>Source!U524</f>
        <v>168</v>
      </c>
    </row>
    <row r="622" spans="1:22" ht="15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51">
        <f>K617+K618+K619+K620</f>
        <v>188167.68000000002</v>
      </c>
      <c r="K622" s="51"/>
      <c r="L622" s="24">
        <f>IF(Source!I524&lt;&gt;0, ROUND(J622/Source!I524, 2), 0)</f>
        <v>26881.1</v>
      </c>
      <c r="P622" s="22">
        <f>J622</f>
        <v>188167.68000000002</v>
      </c>
    </row>
    <row r="623" spans="1:22" ht="57" x14ac:dyDescent="0.2">
      <c r="A623" s="18">
        <v>69</v>
      </c>
      <c r="B623" s="18">
        <v>69</v>
      </c>
      <c r="C623" s="18" t="str">
        <f>Source!F526</f>
        <v>1.21-2203-2-3/1</v>
      </c>
      <c r="D623" s="18" t="str">
        <f>Source!G526</f>
        <v>Техническое обслуживание силового распределительного пункта с установочными автоматами, число групп 8 / ЩСА, ЩАО, ЩОК</v>
      </c>
      <c r="E623" s="19" t="str">
        <f>Source!H526</f>
        <v>шт.</v>
      </c>
      <c r="F623" s="9">
        <f>Source!I526</f>
        <v>20</v>
      </c>
      <c r="G623" s="21"/>
      <c r="H623" s="20"/>
      <c r="I623" s="9"/>
      <c r="J623" s="9"/>
      <c r="K623" s="21"/>
      <c r="L623" s="21"/>
      <c r="Q623">
        <f>ROUND((Source!BZ526/100)*ROUND((Source!AF526*Source!AV526)*Source!I526, 2), 2)</f>
        <v>129672.9</v>
      </c>
      <c r="R623">
        <f>Source!X526</f>
        <v>129672.9</v>
      </c>
      <c r="S623">
        <f>ROUND((Source!CA526/100)*ROUND((Source!AF526*Source!AV526)*Source!I526, 2), 2)</f>
        <v>18524.7</v>
      </c>
      <c r="T623">
        <f>Source!Y526</f>
        <v>18524.7</v>
      </c>
      <c r="U623">
        <f>ROUND((175/100)*ROUND((Source!AE526*Source!AV526)*Source!I526, 2), 2)</f>
        <v>0</v>
      </c>
      <c r="V623">
        <f>ROUND((108/100)*ROUND(Source!CS526*Source!I526, 2), 2)</f>
        <v>0</v>
      </c>
    </row>
    <row r="624" spans="1:22" x14ac:dyDescent="0.2">
      <c r="D624" s="25" t="str">
        <f>"Объем: "&amp;Source!I526&amp;"=7+"&amp;"7+"&amp;"6"</f>
        <v>Объем: 20=7+7+6</v>
      </c>
    </row>
    <row r="625" spans="1:22" ht="14.25" x14ac:dyDescent="0.2">
      <c r="A625" s="18"/>
      <c r="B625" s="18"/>
      <c r="C625" s="18"/>
      <c r="D625" s="18" t="s">
        <v>731</v>
      </c>
      <c r="E625" s="19"/>
      <c r="F625" s="9"/>
      <c r="G625" s="21">
        <f>Source!AO526</f>
        <v>9262.35</v>
      </c>
      <c r="H625" s="20" t="str">
        <f>Source!DG526</f>
        <v/>
      </c>
      <c r="I625" s="9">
        <f>Source!AV526</f>
        <v>1</v>
      </c>
      <c r="J625" s="9">
        <f>IF(Source!BA526&lt;&gt; 0, Source!BA526, 1)</f>
        <v>1</v>
      </c>
      <c r="K625" s="21">
        <f>Source!S526</f>
        <v>185247</v>
      </c>
      <c r="L625" s="21"/>
    </row>
    <row r="626" spans="1:22" ht="14.25" x14ac:dyDescent="0.2">
      <c r="A626" s="18"/>
      <c r="B626" s="18"/>
      <c r="C626" s="18"/>
      <c r="D626" s="18" t="s">
        <v>732</v>
      </c>
      <c r="E626" s="19"/>
      <c r="F626" s="9"/>
      <c r="G626" s="21">
        <f>Source!AL526</f>
        <v>128.44999999999999</v>
      </c>
      <c r="H626" s="20" t="str">
        <f>Source!DD526</f>
        <v/>
      </c>
      <c r="I626" s="9">
        <f>Source!AW526</f>
        <v>1</v>
      </c>
      <c r="J626" s="9">
        <f>IF(Source!BC526&lt;&gt; 0, Source!BC526, 1)</f>
        <v>1</v>
      </c>
      <c r="K626" s="21">
        <f>Source!P526</f>
        <v>2569</v>
      </c>
      <c r="L626" s="21"/>
    </row>
    <row r="627" spans="1:22" ht="14.25" x14ac:dyDescent="0.2">
      <c r="A627" s="18"/>
      <c r="B627" s="18"/>
      <c r="C627" s="18"/>
      <c r="D627" s="18" t="s">
        <v>733</v>
      </c>
      <c r="E627" s="19" t="s">
        <v>734</v>
      </c>
      <c r="F627" s="9">
        <f>Source!AT526</f>
        <v>70</v>
      </c>
      <c r="G627" s="21"/>
      <c r="H627" s="20"/>
      <c r="I627" s="9"/>
      <c r="J627" s="9"/>
      <c r="K627" s="21">
        <f>SUM(R623:R626)</f>
        <v>129672.9</v>
      </c>
      <c r="L627" s="21"/>
    </row>
    <row r="628" spans="1:22" ht="14.25" x14ac:dyDescent="0.2">
      <c r="A628" s="18"/>
      <c r="B628" s="18"/>
      <c r="C628" s="18"/>
      <c r="D628" s="18" t="s">
        <v>735</v>
      </c>
      <c r="E628" s="19" t="s">
        <v>734</v>
      </c>
      <c r="F628" s="9">
        <f>Source!AU526</f>
        <v>10</v>
      </c>
      <c r="G628" s="21"/>
      <c r="H628" s="20"/>
      <c r="I628" s="9"/>
      <c r="J628" s="9"/>
      <c r="K628" s="21">
        <f>SUM(T623:T627)</f>
        <v>18524.7</v>
      </c>
      <c r="L628" s="21"/>
    </row>
    <row r="629" spans="1:22" ht="14.25" x14ac:dyDescent="0.2">
      <c r="A629" s="18"/>
      <c r="B629" s="18"/>
      <c r="C629" s="18"/>
      <c r="D629" s="18" t="s">
        <v>736</v>
      </c>
      <c r="E629" s="19" t="s">
        <v>737</v>
      </c>
      <c r="F629" s="9">
        <f>Source!AQ526</f>
        <v>15</v>
      </c>
      <c r="G629" s="21"/>
      <c r="H629" s="20" t="str">
        <f>Source!DI526</f>
        <v/>
      </c>
      <c r="I629" s="9">
        <f>Source!AV526</f>
        <v>1</v>
      </c>
      <c r="J629" s="9"/>
      <c r="K629" s="21"/>
      <c r="L629" s="21">
        <f>Source!U526</f>
        <v>300</v>
      </c>
    </row>
    <row r="630" spans="1:22" ht="15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51">
        <f>K625+K626+K627+K628</f>
        <v>336013.60000000003</v>
      </c>
      <c r="K630" s="51"/>
      <c r="L630" s="24">
        <f>IF(Source!I526&lt;&gt;0, ROUND(J630/Source!I526, 2), 0)</f>
        <v>16800.68</v>
      </c>
      <c r="P630" s="22">
        <f>J630</f>
        <v>336013.60000000003</v>
      </c>
    </row>
    <row r="631" spans="1:22" ht="57" x14ac:dyDescent="0.2">
      <c r="A631" s="18">
        <v>70</v>
      </c>
      <c r="B631" s="18">
        <v>70</v>
      </c>
      <c r="C631" s="18" t="str">
        <f>Source!F528</f>
        <v>1.21-2203-2-1/1</v>
      </c>
      <c r="D631" s="18" t="str">
        <f>Source!G528</f>
        <v>Техническое обслуживание силового распределительного пункта с установочными автоматами, число групп 4 / ЩАП</v>
      </c>
      <c r="E631" s="19" t="str">
        <f>Source!H528</f>
        <v>шт.</v>
      </c>
      <c r="F631" s="9">
        <f>Source!I528</f>
        <v>6</v>
      </c>
      <c r="G631" s="21"/>
      <c r="H631" s="20"/>
      <c r="I631" s="9"/>
      <c r="J631" s="9"/>
      <c r="K631" s="21"/>
      <c r="L631" s="21"/>
      <c r="Q631">
        <f>ROUND((Source!BZ528/100)*ROUND((Source!AF528*Source!AV528)*Source!I528, 2), 2)</f>
        <v>23341.119999999999</v>
      </c>
      <c r="R631">
        <f>Source!X528</f>
        <v>23341.119999999999</v>
      </c>
      <c r="S631">
        <f>ROUND((Source!CA528/100)*ROUND((Source!AF528*Source!AV528)*Source!I528, 2), 2)</f>
        <v>3334.45</v>
      </c>
      <c r="T631">
        <f>Source!Y528</f>
        <v>3334.45</v>
      </c>
      <c r="U631">
        <f>ROUND((175/100)*ROUND((Source!AE528*Source!AV528)*Source!I528, 2), 2)</f>
        <v>0</v>
      </c>
      <c r="V631">
        <f>ROUND((108/100)*ROUND(Source!CS528*Source!I528, 2), 2)</f>
        <v>0</v>
      </c>
    </row>
    <row r="632" spans="1:22" ht="14.25" x14ac:dyDescent="0.2">
      <c r="A632" s="18"/>
      <c r="B632" s="18"/>
      <c r="C632" s="18"/>
      <c r="D632" s="18" t="s">
        <v>731</v>
      </c>
      <c r="E632" s="19"/>
      <c r="F632" s="9"/>
      <c r="G632" s="21">
        <f>Source!AO528</f>
        <v>5557.41</v>
      </c>
      <c r="H632" s="20" t="str">
        <f>Source!DG528</f>
        <v/>
      </c>
      <c r="I632" s="9">
        <f>Source!AV528</f>
        <v>1</v>
      </c>
      <c r="J632" s="9">
        <f>IF(Source!BA528&lt;&gt; 0, Source!BA528, 1)</f>
        <v>1</v>
      </c>
      <c r="K632" s="21">
        <f>Source!S528</f>
        <v>33344.46</v>
      </c>
      <c r="L632" s="21"/>
    </row>
    <row r="633" spans="1:22" ht="14.25" x14ac:dyDescent="0.2">
      <c r="A633" s="18"/>
      <c r="B633" s="18"/>
      <c r="C633" s="18"/>
      <c r="D633" s="18" t="s">
        <v>732</v>
      </c>
      <c r="E633" s="19"/>
      <c r="F633" s="9"/>
      <c r="G633" s="21">
        <f>Source!AL528</f>
        <v>77.08</v>
      </c>
      <c r="H633" s="20" t="str">
        <f>Source!DD528</f>
        <v/>
      </c>
      <c r="I633" s="9">
        <f>Source!AW528</f>
        <v>1</v>
      </c>
      <c r="J633" s="9">
        <f>IF(Source!BC528&lt;&gt; 0, Source!BC528, 1)</f>
        <v>1</v>
      </c>
      <c r="K633" s="21">
        <f>Source!P528</f>
        <v>462.48</v>
      </c>
      <c r="L633" s="21"/>
    </row>
    <row r="634" spans="1:22" ht="14.25" x14ac:dyDescent="0.2">
      <c r="A634" s="18"/>
      <c r="B634" s="18"/>
      <c r="C634" s="18"/>
      <c r="D634" s="18" t="s">
        <v>733</v>
      </c>
      <c r="E634" s="19" t="s">
        <v>734</v>
      </c>
      <c r="F634" s="9">
        <f>Source!AT528</f>
        <v>70</v>
      </c>
      <c r="G634" s="21"/>
      <c r="H634" s="20"/>
      <c r="I634" s="9"/>
      <c r="J634" s="9"/>
      <c r="K634" s="21">
        <f>SUM(R631:R633)</f>
        <v>23341.119999999999</v>
      </c>
      <c r="L634" s="21"/>
    </row>
    <row r="635" spans="1:22" ht="14.25" x14ac:dyDescent="0.2">
      <c r="A635" s="18"/>
      <c r="B635" s="18"/>
      <c r="C635" s="18"/>
      <c r="D635" s="18" t="s">
        <v>735</v>
      </c>
      <c r="E635" s="19" t="s">
        <v>734</v>
      </c>
      <c r="F635" s="9">
        <f>Source!AU528</f>
        <v>10</v>
      </c>
      <c r="G635" s="21"/>
      <c r="H635" s="20"/>
      <c r="I635" s="9"/>
      <c r="J635" s="9"/>
      <c r="K635" s="21">
        <f>SUM(T631:T634)</f>
        <v>3334.45</v>
      </c>
      <c r="L635" s="21"/>
    </row>
    <row r="636" spans="1:22" ht="14.25" x14ac:dyDescent="0.2">
      <c r="A636" s="18"/>
      <c r="B636" s="18"/>
      <c r="C636" s="18"/>
      <c r="D636" s="18" t="s">
        <v>736</v>
      </c>
      <c r="E636" s="19" t="s">
        <v>737</v>
      </c>
      <c r="F636" s="9">
        <f>Source!AQ528</f>
        <v>9</v>
      </c>
      <c r="G636" s="21"/>
      <c r="H636" s="20" t="str">
        <f>Source!DI528</f>
        <v/>
      </c>
      <c r="I636" s="9">
        <f>Source!AV528</f>
        <v>1</v>
      </c>
      <c r="J636" s="9"/>
      <c r="K636" s="21"/>
      <c r="L636" s="21">
        <f>Source!U528</f>
        <v>54</v>
      </c>
    </row>
    <row r="637" spans="1:22" ht="15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51">
        <f>K632+K633+K634+K635</f>
        <v>60482.509999999995</v>
      </c>
      <c r="K637" s="51"/>
      <c r="L637" s="24">
        <f>IF(Source!I528&lt;&gt;0, ROUND(J637/Source!I528, 2), 0)</f>
        <v>10080.42</v>
      </c>
      <c r="P637" s="22">
        <f>J637</f>
        <v>60482.509999999995</v>
      </c>
    </row>
    <row r="638" spans="1:22" ht="85.5" x14ac:dyDescent="0.2">
      <c r="A638" s="18">
        <v>71</v>
      </c>
      <c r="B638" s="18">
        <v>71</v>
      </c>
      <c r="C638" s="18" t="str">
        <f>Source!F530</f>
        <v>1.21-2203-37-1/1</v>
      </c>
      <c r="D638" s="18" t="str">
        <f>Source!G530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638" s="19" t="str">
        <f>Source!H530</f>
        <v>шт.</v>
      </c>
      <c r="F638" s="9">
        <f>Source!I530</f>
        <v>1</v>
      </c>
      <c r="G638" s="21"/>
      <c r="H638" s="20"/>
      <c r="I638" s="9"/>
      <c r="J638" s="9"/>
      <c r="K638" s="21"/>
      <c r="L638" s="21"/>
      <c r="Q638">
        <f>ROUND((Source!BZ530/100)*ROUND((Source!AF530*Source!AV530)*Source!I530, 2), 2)</f>
        <v>236.12</v>
      </c>
      <c r="R638">
        <f>Source!X530</f>
        <v>236.12</v>
      </c>
      <c r="S638">
        <f>ROUND((Source!CA530/100)*ROUND((Source!AF530*Source!AV530)*Source!I530, 2), 2)</f>
        <v>33.729999999999997</v>
      </c>
      <c r="T638">
        <f>Source!Y530</f>
        <v>33.729999999999997</v>
      </c>
      <c r="U638">
        <f>ROUND((175/100)*ROUND((Source!AE530*Source!AV530)*Source!I530, 2), 2)</f>
        <v>0</v>
      </c>
      <c r="V638">
        <f>ROUND((108/100)*ROUND(Source!CS530*Source!I530, 2), 2)</f>
        <v>0</v>
      </c>
    </row>
    <row r="639" spans="1:22" ht="14.25" x14ac:dyDescent="0.2">
      <c r="A639" s="18"/>
      <c r="B639" s="18"/>
      <c r="C639" s="18"/>
      <c r="D639" s="18" t="s">
        <v>731</v>
      </c>
      <c r="E639" s="19"/>
      <c r="F639" s="9"/>
      <c r="G639" s="21">
        <f>Source!AO530</f>
        <v>337.31</v>
      </c>
      <c r="H639" s="20" t="str">
        <f>Source!DG530</f>
        <v/>
      </c>
      <c r="I639" s="9">
        <f>Source!AV530</f>
        <v>1</v>
      </c>
      <c r="J639" s="9">
        <f>IF(Source!BA530&lt;&gt; 0, Source!BA530, 1)</f>
        <v>1</v>
      </c>
      <c r="K639" s="21">
        <f>Source!S530</f>
        <v>337.31</v>
      </c>
      <c r="L639" s="21"/>
    </row>
    <row r="640" spans="1:22" ht="14.25" x14ac:dyDescent="0.2">
      <c r="A640" s="18"/>
      <c r="B640" s="18"/>
      <c r="C640" s="18"/>
      <c r="D640" s="18" t="s">
        <v>732</v>
      </c>
      <c r="E640" s="19"/>
      <c r="F640" s="9"/>
      <c r="G640" s="21">
        <f>Source!AL530</f>
        <v>1.57</v>
      </c>
      <c r="H640" s="20" t="str">
        <f>Source!DD530</f>
        <v/>
      </c>
      <c r="I640" s="9">
        <f>Source!AW530</f>
        <v>1</v>
      </c>
      <c r="J640" s="9">
        <f>IF(Source!BC530&lt;&gt; 0, Source!BC530, 1)</f>
        <v>1</v>
      </c>
      <c r="K640" s="21">
        <f>Source!P530</f>
        <v>1.57</v>
      </c>
      <c r="L640" s="21"/>
    </row>
    <row r="641" spans="1:22" ht="14.25" x14ac:dyDescent="0.2">
      <c r="A641" s="18"/>
      <c r="B641" s="18"/>
      <c r="C641" s="18"/>
      <c r="D641" s="18" t="s">
        <v>733</v>
      </c>
      <c r="E641" s="19" t="s">
        <v>734</v>
      </c>
      <c r="F641" s="9">
        <f>Source!AT530</f>
        <v>70</v>
      </c>
      <c r="G641" s="21"/>
      <c r="H641" s="20"/>
      <c r="I641" s="9"/>
      <c r="J641" s="9"/>
      <c r="K641" s="21">
        <f>SUM(R638:R640)</f>
        <v>236.12</v>
      </c>
      <c r="L641" s="21"/>
    </row>
    <row r="642" spans="1:22" ht="14.25" x14ac:dyDescent="0.2">
      <c r="A642" s="18"/>
      <c r="B642" s="18"/>
      <c r="C642" s="18"/>
      <c r="D642" s="18" t="s">
        <v>735</v>
      </c>
      <c r="E642" s="19" t="s">
        <v>734</v>
      </c>
      <c r="F642" s="9">
        <f>Source!AU530</f>
        <v>10</v>
      </c>
      <c r="G642" s="21"/>
      <c r="H642" s="20"/>
      <c r="I642" s="9"/>
      <c r="J642" s="9"/>
      <c r="K642" s="21">
        <f>SUM(T638:T641)</f>
        <v>33.729999999999997</v>
      </c>
      <c r="L642" s="21"/>
    </row>
    <row r="643" spans="1:22" ht="14.25" x14ac:dyDescent="0.2">
      <c r="A643" s="18"/>
      <c r="B643" s="18"/>
      <c r="C643" s="18"/>
      <c r="D643" s="18" t="s">
        <v>736</v>
      </c>
      <c r="E643" s="19" t="s">
        <v>737</v>
      </c>
      <c r="F643" s="9">
        <f>Source!AQ530</f>
        <v>0.6</v>
      </c>
      <c r="G643" s="21"/>
      <c r="H643" s="20" t="str">
        <f>Source!DI530</f>
        <v/>
      </c>
      <c r="I643" s="9">
        <f>Source!AV530</f>
        <v>1</v>
      </c>
      <c r="J643" s="9"/>
      <c r="K643" s="21"/>
      <c r="L643" s="21">
        <f>Source!U530</f>
        <v>0.6</v>
      </c>
    </row>
    <row r="644" spans="1:22" ht="15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51">
        <f>K639+K640+K641+K642</f>
        <v>608.73</v>
      </c>
      <c r="K644" s="51"/>
      <c r="L644" s="24">
        <f>IF(Source!I530&lt;&gt;0, ROUND(J644/Source!I530, 2), 0)</f>
        <v>608.73</v>
      </c>
      <c r="P644" s="22">
        <f>J644</f>
        <v>608.73</v>
      </c>
    </row>
    <row r="646" spans="1:22" ht="15" x14ac:dyDescent="0.25">
      <c r="A646" s="54" t="str">
        <f>CONCATENATE("Итого по подразделу: ",IF(Source!G534&lt;&gt;"Новый подраздел", Source!G534, ""))</f>
        <v>Итого по подразделу: 4.6  Щитовое оборудование</v>
      </c>
      <c r="B646" s="54"/>
      <c r="C646" s="54"/>
      <c r="D646" s="54"/>
      <c r="E646" s="54"/>
      <c r="F646" s="54"/>
      <c r="G646" s="54"/>
      <c r="H646" s="54"/>
      <c r="I646" s="54"/>
      <c r="J646" s="53">
        <f>SUM(P615:P645)</f>
        <v>585272.52</v>
      </c>
      <c r="K646" s="71"/>
      <c r="L646" s="26"/>
    </row>
    <row r="649" spans="1:22" ht="15" x14ac:dyDescent="0.25">
      <c r="A649" s="54" t="str">
        <f>CONCATENATE("Итого по разделу: ",IF(Source!G564&lt;&gt;"Новый раздел", Source!G564, ""))</f>
        <v>Итого по разделу: Раздел: 4. Электроосвещение и электрооборудование</v>
      </c>
      <c r="B649" s="54"/>
      <c r="C649" s="54"/>
      <c r="D649" s="54"/>
      <c r="E649" s="54"/>
      <c r="F649" s="54"/>
      <c r="G649" s="54"/>
      <c r="H649" s="54"/>
      <c r="I649" s="54"/>
      <c r="J649" s="53">
        <f>SUM(P398:P648)</f>
        <v>927816.52</v>
      </c>
      <c r="K649" s="71"/>
      <c r="L649" s="26"/>
    </row>
    <row r="652" spans="1:22" ht="16.5" x14ac:dyDescent="0.25">
      <c r="A652" s="50" t="str">
        <f>CONCATENATE("Раздел: ",IF(Source!G594&lt;&gt;"Новый раздел", Source!G594, ""))</f>
        <v>Раздел: Раздел: 5. Автоматизация комплексная</v>
      </c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</row>
    <row r="654" spans="1:22" ht="16.5" x14ac:dyDescent="0.25">
      <c r="A654" s="50" t="str">
        <f>CONCATENATE("Подраздел: ",IF(Source!G598&lt;&gt;"Новый подраздел", Source!G598, ""))</f>
        <v>Подраздел: 5.1  Автоматизация системы отопления</v>
      </c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</row>
    <row r="655" spans="1:22" ht="114" x14ac:dyDescent="0.2">
      <c r="A655" s="18">
        <v>72</v>
      </c>
      <c r="B655" s="18">
        <v>72</v>
      </c>
      <c r="C655" s="18" t="str">
        <f>Source!F602</f>
        <v>1.23-2303-5-1/1</v>
      </c>
      <c r="D655" s="18" t="str">
        <f>Source!G602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E655" s="19" t="str">
        <f>Source!H602</f>
        <v>шт.</v>
      </c>
      <c r="F655" s="9">
        <f>Source!I602</f>
        <v>1</v>
      </c>
      <c r="G655" s="21"/>
      <c r="H655" s="20"/>
      <c r="I655" s="9"/>
      <c r="J655" s="9"/>
      <c r="K655" s="21"/>
      <c r="L655" s="21"/>
      <c r="Q655">
        <f>ROUND((Source!BZ602/100)*ROUND((Source!AF602*Source!AV602)*Source!I602, 2), 2)</f>
        <v>1142.04</v>
      </c>
      <c r="R655">
        <f>Source!X602</f>
        <v>1142.04</v>
      </c>
      <c r="S655">
        <f>ROUND((Source!CA602/100)*ROUND((Source!AF602*Source!AV602)*Source!I602, 2), 2)</f>
        <v>163.15</v>
      </c>
      <c r="T655">
        <f>Source!Y602</f>
        <v>163.15</v>
      </c>
      <c r="U655">
        <f>ROUND((175/100)*ROUND((Source!AE602*Source!AV602)*Source!I602, 2), 2)</f>
        <v>0</v>
      </c>
      <c r="V655">
        <f>ROUND((108/100)*ROUND(Source!CS602*Source!I602, 2), 2)</f>
        <v>0</v>
      </c>
    </row>
    <row r="656" spans="1:22" ht="14.25" x14ac:dyDescent="0.2">
      <c r="A656" s="18"/>
      <c r="B656" s="18"/>
      <c r="C656" s="18"/>
      <c r="D656" s="18" t="s">
        <v>731</v>
      </c>
      <c r="E656" s="19"/>
      <c r="F656" s="9"/>
      <c r="G656" s="21">
        <f>Source!AO602</f>
        <v>815.74</v>
      </c>
      <c r="H656" s="20" t="str">
        <f>Source!DG602</f>
        <v>)*2</v>
      </c>
      <c r="I656" s="9">
        <f>Source!AV602</f>
        <v>1</v>
      </c>
      <c r="J656" s="9">
        <f>IF(Source!BA602&lt;&gt; 0, Source!BA602, 1)</f>
        <v>1</v>
      </c>
      <c r="K656" s="21">
        <f>Source!S602</f>
        <v>1631.48</v>
      </c>
      <c r="L656" s="21"/>
    </row>
    <row r="657" spans="1:22" ht="14.25" x14ac:dyDescent="0.2">
      <c r="A657" s="18"/>
      <c r="B657" s="18"/>
      <c r="C657" s="18"/>
      <c r="D657" s="18" t="s">
        <v>733</v>
      </c>
      <c r="E657" s="19" t="s">
        <v>734</v>
      </c>
      <c r="F657" s="9">
        <f>Source!AT602</f>
        <v>70</v>
      </c>
      <c r="G657" s="21"/>
      <c r="H657" s="20"/>
      <c r="I657" s="9"/>
      <c r="J657" s="9"/>
      <c r="K657" s="21">
        <f>SUM(R655:R656)</f>
        <v>1142.04</v>
      </c>
      <c r="L657" s="21"/>
    </row>
    <row r="658" spans="1:22" ht="14.25" x14ac:dyDescent="0.2">
      <c r="A658" s="18"/>
      <c r="B658" s="18"/>
      <c r="C658" s="18"/>
      <c r="D658" s="18" t="s">
        <v>735</v>
      </c>
      <c r="E658" s="19" t="s">
        <v>734</v>
      </c>
      <c r="F658" s="9">
        <f>Source!AU602</f>
        <v>10</v>
      </c>
      <c r="G658" s="21"/>
      <c r="H658" s="20"/>
      <c r="I658" s="9"/>
      <c r="J658" s="9"/>
      <c r="K658" s="21">
        <f>SUM(T655:T657)</f>
        <v>163.15</v>
      </c>
      <c r="L658" s="21"/>
    </row>
    <row r="659" spans="1:22" ht="14.25" x14ac:dyDescent="0.2">
      <c r="A659" s="18"/>
      <c r="B659" s="18"/>
      <c r="C659" s="18"/>
      <c r="D659" s="18" t="s">
        <v>736</v>
      </c>
      <c r="E659" s="19" t="s">
        <v>737</v>
      </c>
      <c r="F659" s="9">
        <f>Source!AQ602</f>
        <v>1.06</v>
      </c>
      <c r="G659" s="21"/>
      <c r="H659" s="20" t="str">
        <f>Source!DI602</f>
        <v>)*2</v>
      </c>
      <c r="I659" s="9">
        <f>Source!AV602</f>
        <v>1</v>
      </c>
      <c r="J659" s="9"/>
      <c r="K659" s="21"/>
      <c r="L659" s="21">
        <f>Source!U602</f>
        <v>2.12</v>
      </c>
    </row>
    <row r="660" spans="1:22" ht="15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51">
        <f>K656+K657+K658</f>
        <v>2936.67</v>
      </c>
      <c r="K660" s="51"/>
      <c r="L660" s="24">
        <f>IF(Source!I602&lt;&gt;0, ROUND(J660/Source!I602, 2), 0)</f>
        <v>2936.67</v>
      </c>
      <c r="P660" s="22">
        <f>J660</f>
        <v>2936.67</v>
      </c>
    </row>
    <row r="661" spans="1:22" ht="71.25" x14ac:dyDescent="0.2">
      <c r="A661" s="18">
        <v>73</v>
      </c>
      <c r="B661" s="18">
        <v>73</v>
      </c>
      <c r="C661" s="18" t="str">
        <f>Source!F603</f>
        <v>1.23-2103-9-7/1</v>
      </c>
      <c r="D661" s="18" t="str">
        <f>Source!G603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E661" s="19" t="str">
        <f>Source!H603</f>
        <v>шт.</v>
      </c>
      <c r="F661" s="9">
        <f>Source!I603</f>
        <v>1</v>
      </c>
      <c r="G661" s="21"/>
      <c r="H661" s="20"/>
      <c r="I661" s="9"/>
      <c r="J661" s="9"/>
      <c r="K661" s="21"/>
      <c r="L661" s="21"/>
      <c r="Q661">
        <f>ROUND((Source!BZ603/100)*ROUND((Source!AF603*Source!AV603)*Source!I603, 2), 2)</f>
        <v>691.59</v>
      </c>
      <c r="R661">
        <f>Source!X603</f>
        <v>691.59</v>
      </c>
      <c r="S661">
        <f>ROUND((Source!CA603/100)*ROUND((Source!AF603*Source!AV603)*Source!I603, 2), 2)</f>
        <v>98.8</v>
      </c>
      <c r="T661">
        <f>Source!Y603</f>
        <v>98.8</v>
      </c>
      <c r="U661">
        <f>ROUND((175/100)*ROUND((Source!AE603*Source!AV603)*Source!I603, 2), 2)</f>
        <v>0</v>
      </c>
      <c r="V661">
        <f>ROUND((108/100)*ROUND(Source!CS603*Source!I603, 2), 2)</f>
        <v>0</v>
      </c>
    </row>
    <row r="662" spans="1:22" ht="14.25" x14ac:dyDescent="0.2">
      <c r="A662" s="18"/>
      <c r="B662" s="18"/>
      <c r="C662" s="18"/>
      <c r="D662" s="18" t="s">
        <v>731</v>
      </c>
      <c r="E662" s="19"/>
      <c r="F662" s="9"/>
      <c r="G662" s="21">
        <f>Source!AO603</f>
        <v>493.99</v>
      </c>
      <c r="H662" s="20" t="str">
        <f>Source!DG603</f>
        <v>)*2</v>
      </c>
      <c r="I662" s="9">
        <f>Source!AV603</f>
        <v>1</v>
      </c>
      <c r="J662" s="9">
        <f>IF(Source!BA603&lt;&gt; 0, Source!BA603, 1)</f>
        <v>1</v>
      </c>
      <c r="K662" s="21">
        <f>Source!S603</f>
        <v>987.98</v>
      </c>
      <c r="L662" s="21"/>
    </row>
    <row r="663" spans="1:22" ht="14.25" x14ac:dyDescent="0.2">
      <c r="A663" s="18"/>
      <c r="B663" s="18"/>
      <c r="C663" s="18"/>
      <c r="D663" s="18" t="s">
        <v>733</v>
      </c>
      <c r="E663" s="19" t="s">
        <v>734</v>
      </c>
      <c r="F663" s="9">
        <f>Source!AT603</f>
        <v>70</v>
      </c>
      <c r="G663" s="21"/>
      <c r="H663" s="20"/>
      <c r="I663" s="9"/>
      <c r="J663" s="9"/>
      <c r="K663" s="21">
        <f>SUM(R661:R662)</f>
        <v>691.59</v>
      </c>
      <c r="L663" s="21"/>
    </row>
    <row r="664" spans="1:22" ht="14.25" x14ac:dyDescent="0.2">
      <c r="A664" s="18"/>
      <c r="B664" s="18"/>
      <c r="C664" s="18"/>
      <c r="D664" s="18" t="s">
        <v>735</v>
      </c>
      <c r="E664" s="19" t="s">
        <v>734</v>
      </c>
      <c r="F664" s="9">
        <f>Source!AU603</f>
        <v>10</v>
      </c>
      <c r="G664" s="21"/>
      <c r="H664" s="20"/>
      <c r="I664" s="9"/>
      <c r="J664" s="9"/>
      <c r="K664" s="21">
        <f>SUM(T661:T663)</f>
        <v>98.8</v>
      </c>
      <c r="L664" s="21"/>
    </row>
    <row r="665" spans="1:22" ht="14.25" x14ac:dyDescent="0.2">
      <c r="A665" s="18"/>
      <c r="B665" s="18"/>
      <c r="C665" s="18"/>
      <c r="D665" s="18" t="s">
        <v>736</v>
      </c>
      <c r="E665" s="19" t="s">
        <v>737</v>
      </c>
      <c r="F665" s="9">
        <f>Source!AQ603</f>
        <v>0.8</v>
      </c>
      <c r="G665" s="21"/>
      <c r="H665" s="20" t="str">
        <f>Source!DI603</f>
        <v>)*2</v>
      </c>
      <c r="I665" s="9">
        <f>Source!AV603</f>
        <v>1</v>
      </c>
      <c r="J665" s="9"/>
      <c r="K665" s="21"/>
      <c r="L665" s="21">
        <f>Source!U603</f>
        <v>1.6</v>
      </c>
    </row>
    <row r="666" spans="1:22" ht="15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51">
        <f>K662+K663+K664</f>
        <v>1778.3700000000001</v>
      </c>
      <c r="K666" s="51"/>
      <c r="L666" s="24">
        <f>IF(Source!I603&lt;&gt;0, ROUND(J666/Source!I603, 2), 0)</f>
        <v>1778.37</v>
      </c>
      <c r="P666" s="22">
        <f>J666</f>
        <v>1778.3700000000001</v>
      </c>
    </row>
    <row r="667" spans="1:22" ht="28.5" x14ac:dyDescent="0.2">
      <c r="A667" s="18">
        <v>74</v>
      </c>
      <c r="B667" s="18">
        <v>74</v>
      </c>
      <c r="C667" s="18" t="str">
        <f>Source!F604</f>
        <v>1.23-2303-11-1/1</v>
      </c>
      <c r="D667" s="18" t="str">
        <f>Source!G604</f>
        <v>Техническое обслуживание модулей аналоговых входных сигналов</v>
      </c>
      <c r="E667" s="19" t="str">
        <f>Source!H604</f>
        <v>шт.</v>
      </c>
      <c r="F667" s="9">
        <f>Source!I604</f>
        <v>1</v>
      </c>
      <c r="G667" s="21"/>
      <c r="H667" s="20"/>
      <c r="I667" s="9"/>
      <c r="J667" s="9"/>
      <c r="K667" s="21"/>
      <c r="L667" s="21"/>
      <c r="Q667">
        <f>ROUND((Source!BZ604/100)*ROUND((Source!AF604*Source!AV604)*Source!I604, 2), 2)</f>
        <v>3000.44</v>
      </c>
      <c r="R667">
        <f>Source!X604</f>
        <v>3000.44</v>
      </c>
      <c r="S667">
        <f>ROUND((Source!CA604/100)*ROUND((Source!AF604*Source!AV604)*Source!I604, 2), 2)</f>
        <v>428.63</v>
      </c>
      <c r="T667">
        <f>Source!Y604</f>
        <v>428.63</v>
      </c>
      <c r="U667">
        <f>ROUND((175/100)*ROUND((Source!AE604*Source!AV604)*Source!I604, 2), 2)</f>
        <v>0</v>
      </c>
      <c r="V667">
        <f>ROUND((108/100)*ROUND(Source!CS604*Source!I604, 2), 2)</f>
        <v>0</v>
      </c>
    </row>
    <row r="668" spans="1:22" ht="14.25" x14ac:dyDescent="0.2">
      <c r="A668" s="18"/>
      <c r="B668" s="18"/>
      <c r="C668" s="18"/>
      <c r="D668" s="18" t="s">
        <v>731</v>
      </c>
      <c r="E668" s="19"/>
      <c r="F668" s="9"/>
      <c r="G668" s="21">
        <f>Source!AO604</f>
        <v>2143.17</v>
      </c>
      <c r="H668" s="20" t="str">
        <f>Source!DG604</f>
        <v>)*2</v>
      </c>
      <c r="I668" s="9">
        <f>Source!AV604</f>
        <v>1</v>
      </c>
      <c r="J668" s="9">
        <f>IF(Source!BA604&lt;&gt; 0, Source!BA604, 1)</f>
        <v>1</v>
      </c>
      <c r="K668" s="21">
        <f>Source!S604</f>
        <v>4286.34</v>
      </c>
      <c r="L668" s="21"/>
    </row>
    <row r="669" spans="1:22" ht="14.25" x14ac:dyDescent="0.2">
      <c r="A669" s="18"/>
      <c r="B669" s="18"/>
      <c r="C669" s="18"/>
      <c r="D669" s="18" t="s">
        <v>732</v>
      </c>
      <c r="E669" s="19"/>
      <c r="F669" s="9"/>
      <c r="G669" s="21">
        <f>Source!AL604</f>
        <v>4.97</v>
      </c>
      <c r="H669" s="20" t="str">
        <f>Source!DD604</f>
        <v>)*2</v>
      </c>
      <c r="I669" s="9">
        <f>Source!AW604</f>
        <v>1</v>
      </c>
      <c r="J669" s="9">
        <f>IF(Source!BC604&lt;&gt; 0, Source!BC604, 1)</f>
        <v>1</v>
      </c>
      <c r="K669" s="21">
        <f>Source!P604</f>
        <v>9.94</v>
      </c>
      <c r="L669" s="21"/>
    </row>
    <row r="670" spans="1:22" ht="14.25" x14ac:dyDescent="0.2">
      <c r="A670" s="18"/>
      <c r="B670" s="18"/>
      <c r="C670" s="18"/>
      <c r="D670" s="18" t="s">
        <v>733</v>
      </c>
      <c r="E670" s="19" t="s">
        <v>734</v>
      </c>
      <c r="F670" s="9">
        <f>Source!AT604</f>
        <v>70</v>
      </c>
      <c r="G670" s="21"/>
      <c r="H670" s="20"/>
      <c r="I670" s="9"/>
      <c r="J670" s="9"/>
      <c r="K670" s="21">
        <f>SUM(R667:R669)</f>
        <v>3000.44</v>
      </c>
      <c r="L670" s="21"/>
    </row>
    <row r="671" spans="1:22" ht="14.25" x14ac:dyDescent="0.2">
      <c r="A671" s="18"/>
      <c r="B671" s="18"/>
      <c r="C671" s="18"/>
      <c r="D671" s="18" t="s">
        <v>735</v>
      </c>
      <c r="E671" s="19" t="s">
        <v>734</v>
      </c>
      <c r="F671" s="9">
        <f>Source!AU604</f>
        <v>10</v>
      </c>
      <c r="G671" s="21"/>
      <c r="H671" s="20"/>
      <c r="I671" s="9"/>
      <c r="J671" s="9"/>
      <c r="K671" s="21">
        <f>SUM(T667:T670)</f>
        <v>428.63</v>
      </c>
      <c r="L671" s="21"/>
    </row>
    <row r="672" spans="1:22" ht="14.25" x14ac:dyDescent="0.2">
      <c r="A672" s="18"/>
      <c r="B672" s="18"/>
      <c r="C672" s="18"/>
      <c r="D672" s="18" t="s">
        <v>736</v>
      </c>
      <c r="E672" s="19" t="s">
        <v>737</v>
      </c>
      <c r="F672" s="9">
        <f>Source!AQ604</f>
        <v>3.02</v>
      </c>
      <c r="G672" s="21"/>
      <c r="H672" s="20" t="str">
        <f>Source!DI604</f>
        <v>)*2</v>
      </c>
      <c r="I672" s="9">
        <f>Source!AV604</f>
        <v>1</v>
      </c>
      <c r="J672" s="9"/>
      <c r="K672" s="21"/>
      <c r="L672" s="21">
        <f>Source!U604</f>
        <v>6.04</v>
      </c>
    </row>
    <row r="673" spans="1:22" ht="15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51">
        <f>K668+K669+K670+K671</f>
        <v>7725.3499999999995</v>
      </c>
      <c r="K673" s="51"/>
      <c r="L673" s="24">
        <f>IF(Source!I604&lt;&gt;0, ROUND(J673/Source!I604, 2), 0)</f>
        <v>7725.35</v>
      </c>
      <c r="P673" s="22">
        <f>J673</f>
        <v>7725.3499999999995</v>
      </c>
    </row>
    <row r="674" spans="1:22" ht="28.5" x14ac:dyDescent="0.2">
      <c r="A674" s="18">
        <v>75</v>
      </c>
      <c r="B674" s="18">
        <v>75</v>
      </c>
      <c r="C674" s="18" t="str">
        <f>Source!F605</f>
        <v>1.23-2303-11-3/1</v>
      </c>
      <c r="D674" s="18" t="str">
        <f>Source!G605</f>
        <v>Техническое обслуживание модулей дискретных входных сигналов</v>
      </c>
      <c r="E674" s="19" t="str">
        <f>Source!H605</f>
        <v>шт.</v>
      </c>
      <c r="F674" s="9">
        <f>Source!I605</f>
        <v>1</v>
      </c>
      <c r="G674" s="21"/>
      <c r="H674" s="20"/>
      <c r="I674" s="9"/>
      <c r="J674" s="9"/>
      <c r="K674" s="21"/>
      <c r="L674" s="21"/>
      <c r="Q674">
        <f>ROUND((Source!BZ605/100)*ROUND((Source!AF605*Source!AV605)*Source!I605, 2), 2)</f>
        <v>2861.35</v>
      </c>
      <c r="R674">
        <f>Source!X605</f>
        <v>2861.35</v>
      </c>
      <c r="S674">
        <f>ROUND((Source!CA605/100)*ROUND((Source!AF605*Source!AV605)*Source!I605, 2), 2)</f>
        <v>408.76</v>
      </c>
      <c r="T674">
        <f>Source!Y605</f>
        <v>408.76</v>
      </c>
      <c r="U674">
        <f>ROUND((175/100)*ROUND((Source!AE605*Source!AV605)*Source!I605, 2), 2)</f>
        <v>0</v>
      </c>
      <c r="V674">
        <f>ROUND((108/100)*ROUND(Source!CS605*Source!I605, 2), 2)</f>
        <v>0</v>
      </c>
    </row>
    <row r="675" spans="1:22" ht="14.25" x14ac:dyDescent="0.2">
      <c r="A675" s="18"/>
      <c r="B675" s="18"/>
      <c r="C675" s="18"/>
      <c r="D675" s="18" t="s">
        <v>731</v>
      </c>
      <c r="E675" s="19"/>
      <c r="F675" s="9"/>
      <c r="G675" s="21">
        <f>Source!AO605</f>
        <v>2043.82</v>
      </c>
      <c r="H675" s="20" t="str">
        <f>Source!DG605</f>
        <v>)*2</v>
      </c>
      <c r="I675" s="9">
        <f>Source!AV605</f>
        <v>1</v>
      </c>
      <c r="J675" s="9">
        <f>IF(Source!BA605&lt;&gt; 0, Source!BA605, 1)</f>
        <v>1</v>
      </c>
      <c r="K675" s="21">
        <f>Source!S605</f>
        <v>4087.64</v>
      </c>
      <c r="L675" s="21"/>
    </row>
    <row r="676" spans="1:22" ht="14.25" x14ac:dyDescent="0.2">
      <c r="A676" s="18"/>
      <c r="B676" s="18"/>
      <c r="C676" s="18"/>
      <c r="D676" s="18" t="s">
        <v>732</v>
      </c>
      <c r="E676" s="19"/>
      <c r="F676" s="9"/>
      <c r="G676" s="21">
        <f>Source!AL605</f>
        <v>4.97</v>
      </c>
      <c r="H676" s="20" t="str">
        <f>Source!DD605</f>
        <v>)*2</v>
      </c>
      <c r="I676" s="9">
        <f>Source!AW605</f>
        <v>1</v>
      </c>
      <c r="J676" s="9">
        <f>IF(Source!BC605&lt;&gt; 0, Source!BC605, 1)</f>
        <v>1</v>
      </c>
      <c r="K676" s="21">
        <f>Source!P605</f>
        <v>9.94</v>
      </c>
      <c r="L676" s="21"/>
    </row>
    <row r="677" spans="1:22" ht="14.25" x14ac:dyDescent="0.2">
      <c r="A677" s="18"/>
      <c r="B677" s="18"/>
      <c r="C677" s="18"/>
      <c r="D677" s="18" t="s">
        <v>733</v>
      </c>
      <c r="E677" s="19" t="s">
        <v>734</v>
      </c>
      <c r="F677" s="9">
        <f>Source!AT605</f>
        <v>70</v>
      </c>
      <c r="G677" s="21"/>
      <c r="H677" s="20"/>
      <c r="I677" s="9"/>
      <c r="J677" s="9"/>
      <c r="K677" s="21">
        <f>SUM(R674:R676)</f>
        <v>2861.35</v>
      </c>
      <c r="L677" s="21"/>
    </row>
    <row r="678" spans="1:22" ht="14.25" x14ac:dyDescent="0.2">
      <c r="A678" s="18"/>
      <c r="B678" s="18"/>
      <c r="C678" s="18"/>
      <c r="D678" s="18" t="s">
        <v>735</v>
      </c>
      <c r="E678" s="19" t="s">
        <v>734</v>
      </c>
      <c r="F678" s="9">
        <f>Source!AU605</f>
        <v>10</v>
      </c>
      <c r="G678" s="21"/>
      <c r="H678" s="20"/>
      <c r="I678" s="9"/>
      <c r="J678" s="9"/>
      <c r="K678" s="21">
        <f>SUM(T674:T677)</f>
        <v>408.76</v>
      </c>
      <c r="L678" s="21"/>
    </row>
    <row r="679" spans="1:22" ht="14.25" x14ac:dyDescent="0.2">
      <c r="A679" s="18"/>
      <c r="B679" s="18"/>
      <c r="C679" s="18"/>
      <c r="D679" s="18" t="s">
        <v>736</v>
      </c>
      <c r="E679" s="19" t="s">
        <v>737</v>
      </c>
      <c r="F679" s="9">
        <f>Source!AQ605</f>
        <v>2.88</v>
      </c>
      <c r="G679" s="21"/>
      <c r="H679" s="20" t="str">
        <f>Source!DI605</f>
        <v>)*2</v>
      </c>
      <c r="I679" s="9">
        <f>Source!AV605</f>
        <v>1</v>
      </c>
      <c r="J679" s="9"/>
      <c r="K679" s="21"/>
      <c r="L679" s="21">
        <f>Source!U605</f>
        <v>5.76</v>
      </c>
    </row>
    <row r="680" spans="1:22" ht="15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51">
        <f>K675+K676+K677+K678</f>
        <v>7367.6900000000005</v>
      </c>
      <c r="K680" s="51"/>
      <c r="L680" s="24">
        <f>IF(Source!I605&lt;&gt;0, ROUND(J680/Source!I605, 2), 0)</f>
        <v>7367.69</v>
      </c>
      <c r="P680" s="22">
        <f>J680</f>
        <v>7367.6900000000005</v>
      </c>
    </row>
    <row r="681" spans="1:22" ht="28.5" x14ac:dyDescent="0.2">
      <c r="A681" s="18">
        <v>76</v>
      </c>
      <c r="B681" s="18">
        <v>76</v>
      </c>
      <c r="C681" s="18" t="str">
        <f>Source!F606</f>
        <v>1.23-2303-11-4/1</v>
      </c>
      <c r="D681" s="18" t="str">
        <f>Source!G606</f>
        <v>Техническое обслуживание модулей дискретных выходных сигналов</v>
      </c>
      <c r="E681" s="19" t="str">
        <f>Source!H606</f>
        <v>шт.</v>
      </c>
      <c r="F681" s="9">
        <f>Source!I606</f>
        <v>1</v>
      </c>
      <c r="G681" s="21"/>
      <c r="H681" s="20"/>
      <c r="I681" s="9"/>
      <c r="J681" s="9"/>
      <c r="K681" s="21"/>
      <c r="L681" s="21"/>
      <c r="Q681">
        <f>ROUND((Source!BZ606/100)*ROUND((Source!AF606*Source!AV606)*Source!I606, 2), 2)</f>
        <v>3050.12</v>
      </c>
      <c r="R681">
        <f>Source!X606</f>
        <v>3050.12</v>
      </c>
      <c r="S681">
        <f>ROUND((Source!CA606/100)*ROUND((Source!AF606*Source!AV606)*Source!I606, 2), 2)</f>
        <v>435.73</v>
      </c>
      <c r="T681">
        <f>Source!Y606</f>
        <v>435.73</v>
      </c>
      <c r="U681">
        <f>ROUND((175/100)*ROUND((Source!AE606*Source!AV606)*Source!I606, 2), 2)</f>
        <v>0</v>
      </c>
      <c r="V681">
        <f>ROUND((108/100)*ROUND(Source!CS606*Source!I606, 2), 2)</f>
        <v>0</v>
      </c>
    </row>
    <row r="682" spans="1:22" ht="14.25" x14ac:dyDescent="0.2">
      <c r="A682" s="18"/>
      <c r="B682" s="18"/>
      <c r="C682" s="18"/>
      <c r="D682" s="18" t="s">
        <v>731</v>
      </c>
      <c r="E682" s="19"/>
      <c r="F682" s="9"/>
      <c r="G682" s="21">
        <f>Source!AO606</f>
        <v>2178.66</v>
      </c>
      <c r="H682" s="20" t="str">
        <f>Source!DG606</f>
        <v>)*2</v>
      </c>
      <c r="I682" s="9">
        <f>Source!AV606</f>
        <v>1</v>
      </c>
      <c r="J682" s="9">
        <f>IF(Source!BA606&lt;&gt; 0, Source!BA606, 1)</f>
        <v>1</v>
      </c>
      <c r="K682" s="21">
        <f>Source!S606</f>
        <v>4357.32</v>
      </c>
      <c r="L682" s="21"/>
    </row>
    <row r="683" spans="1:22" ht="14.25" x14ac:dyDescent="0.2">
      <c r="A683" s="18"/>
      <c r="B683" s="18"/>
      <c r="C683" s="18"/>
      <c r="D683" s="18" t="s">
        <v>732</v>
      </c>
      <c r="E683" s="19"/>
      <c r="F683" s="9"/>
      <c r="G683" s="21">
        <f>Source!AL606</f>
        <v>4.97</v>
      </c>
      <c r="H683" s="20" t="str">
        <f>Source!DD606</f>
        <v>)*2</v>
      </c>
      <c r="I683" s="9">
        <f>Source!AW606</f>
        <v>1</v>
      </c>
      <c r="J683" s="9">
        <f>IF(Source!BC606&lt;&gt; 0, Source!BC606, 1)</f>
        <v>1</v>
      </c>
      <c r="K683" s="21">
        <f>Source!P606</f>
        <v>9.94</v>
      </c>
      <c r="L683" s="21"/>
    </row>
    <row r="684" spans="1:22" ht="14.25" x14ac:dyDescent="0.2">
      <c r="A684" s="18"/>
      <c r="B684" s="18"/>
      <c r="C684" s="18"/>
      <c r="D684" s="18" t="s">
        <v>733</v>
      </c>
      <c r="E684" s="19" t="s">
        <v>734</v>
      </c>
      <c r="F684" s="9">
        <f>Source!AT606</f>
        <v>70</v>
      </c>
      <c r="G684" s="21"/>
      <c r="H684" s="20"/>
      <c r="I684" s="9"/>
      <c r="J684" s="9"/>
      <c r="K684" s="21">
        <f>SUM(R681:R683)</f>
        <v>3050.12</v>
      </c>
      <c r="L684" s="21"/>
    </row>
    <row r="685" spans="1:22" ht="14.25" x14ac:dyDescent="0.2">
      <c r="A685" s="18"/>
      <c r="B685" s="18"/>
      <c r="C685" s="18"/>
      <c r="D685" s="18" t="s">
        <v>735</v>
      </c>
      <c r="E685" s="19" t="s">
        <v>734</v>
      </c>
      <c r="F685" s="9">
        <f>Source!AU606</f>
        <v>10</v>
      </c>
      <c r="G685" s="21"/>
      <c r="H685" s="20"/>
      <c r="I685" s="9"/>
      <c r="J685" s="9"/>
      <c r="K685" s="21">
        <f>SUM(T681:T684)</f>
        <v>435.73</v>
      </c>
      <c r="L685" s="21"/>
    </row>
    <row r="686" spans="1:22" ht="14.25" x14ac:dyDescent="0.2">
      <c r="A686" s="18"/>
      <c r="B686" s="18"/>
      <c r="C686" s="18"/>
      <c r="D686" s="18" t="s">
        <v>736</v>
      </c>
      <c r="E686" s="19" t="s">
        <v>737</v>
      </c>
      <c r="F686" s="9">
        <f>Source!AQ606</f>
        <v>3.07</v>
      </c>
      <c r="G686" s="21"/>
      <c r="H686" s="20" t="str">
        <f>Source!DI606</f>
        <v>)*2</v>
      </c>
      <c r="I686" s="9">
        <f>Source!AV606</f>
        <v>1</v>
      </c>
      <c r="J686" s="9"/>
      <c r="K686" s="21"/>
      <c r="L686" s="21">
        <f>Source!U606</f>
        <v>6.14</v>
      </c>
    </row>
    <row r="687" spans="1:22" ht="15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51">
        <f>K682+K683+K684+K685</f>
        <v>7853.1099999999988</v>
      </c>
      <c r="K687" s="51"/>
      <c r="L687" s="24">
        <f>IF(Source!I606&lt;&gt;0, ROUND(J687/Source!I606, 2), 0)</f>
        <v>7853.11</v>
      </c>
      <c r="P687" s="22">
        <f>J687</f>
        <v>7853.1099999999988</v>
      </c>
    </row>
    <row r="689" spans="1:22" ht="15" x14ac:dyDescent="0.25">
      <c r="A689" s="54" t="str">
        <f>CONCATENATE("Итого по подразделу: ",IF(Source!G608&lt;&gt;"Новый подраздел", Source!G608, ""))</f>
        <v>Итого по подразделу: 5.1  Автоматизация системы отопления</v>
      </c>
      <c r="B689" s="54"/>
      <c r="C689" s="54"/>
      <c r="D689" s="54"/>
      <c r="E689" s="54"/>
      <c r="F689" s="54"/>
      <c r="G689" s="54"/>
      <c r="H689" s="54"/>
      <c r="I689" s="54"/>
      <c r="J689" s="53">
        <f>SUM(P654:P688)</f>
        <v>27661.190000000002</v>
      </c>
      <c r="K689" s="71"/>
      <c r="L689" s="26"/>
    </row>
    <row r="692" spans="1:22" ht="16.5" x14ac:dyDescent="0.25">
      <c r="A692" s="50" t="str">
        <f>CONCATENATE("Подраздел: ",IF(Source!G638&lt;&gt;"Новый подраздел", Source!G638, ""))</f>
        <v>Подраздел: 5.2  Приборы и средства автоматизации</v>
      </c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</row>
    <row r="693" spans="1:22" ht="99.75" x14ac:dyDescent="0.2">
      <c r="A693" s="18">
        <v>77</v>
      </c>
      <c r="B693" s="18">
        <v>77</v>
      </c>
      <c r="C693" s="18" t="str">
        <f>Source!F642</f>
        <v>1.23-2303-5-1/1</v>
      </c>
      <c r="D693" s="18" t="str">
        <f>Source!G642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E693" s="19" t="str">
        <f>Source!H642</f>
        <v>шт.</v>
      </c>
      <c r="F693" s="9">
        <f>Source!I642</f>
        <v>1</v>
      </c>
      <c r="G693" s="21"/>
      <c r="H693" s="20"/>
      <c r="I693" s="9"/>
      <c r="J693" s="9"/>
      <c r="K693" s="21"/>
      <c r="L693" s="21"/>
      <c r="Q693">
        <f>ROUND((Source!BZ642/100)*ROUND((Source!AF642*Source!AV642)*Source!I642, 2), 2)</f>
        <v>1142.04</v>
      </c>
      <c r="R693">
        <f>Source!X642</f>
        <v>1142.04</v>
      </c>
      <c r="S693">
        <f>ROUND((Source!CA642/100)*ROUND((Source!AF642*Source!AV642)*Source!I642, 2), 2)</f>
        <v>163.15</v>
      </c>
      <c r="T693">
        <f>Source!Y642</f>
        <v>163.15</v>
      </c>
      <c r="U693">
        <f>ROUND((175/100)*ROUND((Source!AE642*Source!AV642)*Source!I642, 2), 2)</f>
        <v>0</v>
      </c>
      <c r="V693">
        <f>ROUND((108/100)*ROUND(Source!CS642*Source!I642, 2), 2)</f>
        <v>0</v>
      </c>
    </row>
    <row r="694" spans="1:22" ht="14.25" x14ac:dyDescent="0.2">
      <c r="A694" s="18"/>
      <c r="B694" s="18"/>
      <c r="C694" s="18"/>
      <c r="D694" s="18" t="s">
        <v>731</v>
      </c>
      <c r="E694" s="19"/>
      <c r="F694" s="9"/>
      <c r="G694" s="21">
        <f>Source!AO642</f>
        <v>815.74</v>
      </c>
      <c r="H694" s="20" t="str">
        <f>Source!DG642</f>
        <v>)*2</v>
      </c>
      <c r="I694" s="9">
        <f>Source!AV642</f>
        <v>1</v>
      </c>
      <c r="J694" s="9">
        <f>IF(Source!BA642&lt;&gt; 0, Source!BA642, 1)</f>
        <v>1</v>
      </c>
      <c r="K694" s="21">
        <f>Source!S642</f>
        <v>1631.48</v>
      </c>
      <c r="L694" s="21"/>
    </row>
    <row r="695" spans="1:22" ht="14.25" x14ac:dyDescent="0.2">
      <c r="A695" s="18"/>
      <c r="B695" s="18"/>
      <c r="C695" s="18"/>
      <c r="D695" s="18" t="s">
        <v>733</v>
      </c>
      <c r="E695" s="19" t="s">
        <v>734</v>
      </c>
      <c r="F695" s="9">
        <f>Source!AT642</f>
        <v>70</v>
      </c>
      <c r="G695" s="21"/>
      <c r="H695" s="20"/>
      <c r="I695" s="9"/>
      <c r="J695" s="9"/>
      <c r="K695" s="21">
        <f>SUM(R693:R694)</f>
        <v>1142.04</v>
      </c>
      <c r="L695" s="21"/>
    </row>
    <row r="696" spans="1:22" ht="14.25" x14ac:dyDescent="0.2">
      <c r="A696" s="18"/>
      <c r="B696" s="18"/>
      <c r="C696" s="18"/>
      <c r="D696" s="18" t="s">
        <v>735</v>
      </c>
      <c r="E696" s="19" t="s">
        <v>734</v>
      </c>
      <c r="F696" s="9">
        <f>Source!AU642</f>
        <v>10</v>
      </c>
      <c r="G696" s="21"/>
      <c r="H696" s="20"/>
      <c r="I696" s="9"/>
      <c r="J696" s="9"/>
      <c r="K696" s="21">
        <f>SUM(T693:T695)</f>
        <v>163.15</v>
      </c>
      <c r="L696" s="21"/>
    </row>
    <row r="697" spans="1:22" ht="14.25" x14ac:dyDescent="0.2">
      <c r="A697" s="18"/>
      <c r="B697" s="18"/>
      <c r="C697" s="18"/>
      <c r="D697" s="18" t="s">
        <v>736</v>
      </c>
      <c r="E697" s="19" t="s">
        <v>737</v>
      </c>
      <c r="F697" s="9">
        <f>Source!AQ642</f>
        <v>1.06</v>
      </c>
      <c r="G697" s="21"/>
      <c r="H697" s="20" t="str">
        <f>Source!DI642</f>
        <v>)*2</v>
      </c>
      <c r="I697" s="9">
        <f>Source!AV642</f>
        <v>1</v>
      </c>
      <c r="J697" s="9"/>
      <c r="K697" s="21"/>
      <c r="L697" s="21">
        <f>Source!U642</f>
        <v>2.12</v>
      </c>
    </row>
    <row r="698" spans="1:22" ht="15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51">
        <f>K694+K695+K696</f>
        <v>2936.67</v>
      </c>
      <c r="K698" s="51"/>
      <c r="L698" s="24">
        <f>IF(Source!I642&lt;&gt;0, ROUND(J698/Source!I642, 2), 0)</f>
        <v>2936.67</v>
      </c>
      <c r="P698" s="22">
        <f>J698</f>
        <v>2936.67</v>
      </c>
    </row>
    <row r="699" spans="1:22" ht="42.75" x14ac:dyDescent="0.2">
      <c r="A699" s="18">
        <v>78</v>
      </c>
      <c r="B699" s="18">
        <v>78</v>
      </c>
      <c r="C699" s="18" t="str">
        <f>Source!F643</f>
        <v>1.23-2203-3-1/1</v>
      </c>
      <c r="D699" s="18" t="str">
        <f>Source!G643</f>
        <v>Техническое обслуживание светосигнальной арматуры с лампой накаливания, светодиодом</v>
      </c>
      <c r="E699" s="19" t="str">
        <f>Source!H643</f>
        <v>10 шт.</v>
      </c>
      <c r="F699" s="9">
        <f>Source!I643</f>
        <v>0.2</v>
      </c>
      <c r="G699" s="21"/>
      <c r="H699" s="20"/>
      <c r="I699" s="9"/>
      <c r="J699" s="9"/>
      <c r="K699" s="21"/>
      <c r="L699" s="21"/>
      <c r="Q699">
        <f>ROUND((Source!BZ643/100)*ROUND((Source!AF643*Source!AV643)*Source!I643, 2), 2)</f>
        <v>238.45</v>
      </c>
      <c r="R699">
        <f>Source!X643</f>
        <v>238.45</v>
      </c>
      <c r="S699">
        <f>ROUND((Source!CA643/100)*ROUND((Source!AF643*Source!AV643)*Source!I643, 2), 2)</f>
        <v>34.06</v>
      </c>
      <c r="T699">
        <f>Source!Y643</f>
        <v>34.06</v>
      </c>
      <c r="U699">
        <f>ROUND((175/100)*ROUND((Source!AE643*Source!AV643)*Source!I643, 2), 2)</f>
        <v>0</v>
      </c>
      <c r="V699">
        <f>ROUND((108/100)*ROUND(Source!CS643*Source!I643, 2), 2)</f>
        <v>0</v>
      </c>
    </row>
    <row r="700" spans="1:22" x14ac:dyDescent="0.2">
      <c r="D700" s="25" t="str">
        <f>"Объем: "&amp;Source!I643&amp;"=(1+"&amp;"1)/"&amp;"10"</f>
        <v>Объем: 0,2=(1+1)/10</v>
      </c>
    </row>
    <row r="701" spans="1:22" ht="14.25" x14ac:dyDescent="0.2">
      <c r="A701" s="18"/>
      <c r="B701" s="18"/>
      <c r="C701" s="18"/>
      <c r="D701" s="18" t="s">
        <v>731</v>
      </c>
      <c r="E701" s="19"/>
      <c r="F701" s="9"/>
      <c r="G701" s="21">
        <f>Source!AO643</f>
        <v>1703.18</v>
      </c>
      <c r="H701" s="20" t="str">
        <f>Source!DG643</f>
        <v/>
      </c>
      <c r="I701" s="9">
        <f>Source!AV643</f>
        <v>1</v>
      </c>
      <c r="J701" s="9">
        <f>IF(Source!BA643&lt;&gt; 0, Source!BA643, 1)</f>
        <v>1</v>
      </c>
      <c r="K701" s="21">
        <f>Source!S643</f>
        <v>340.64</v>
      </c>
      <c r="L701" s="21"/>
    </row>
    <row r="702" spans="1:22" ht="14.25" x14ac:dyDescent="0.2">
      <c r="A702" s="18"/>
      <c r="B702" s="18"/>
      <c r="C702" s="18"/>
      <c r="D702" s="18" t="s">
        <v>732</v>
      </c>
      <c r="E702" s="19"/>
      <c r="F702" s="9"/>
      <c r="G702" s="21">
        <f>Source!AL643</f>
        <v>80.67</v>
      </c>
      <c r="H702" s="20" t="str">
        <f>Source!DD643</f>
        <v/>
      </c>
      <c r="I702" s="9">
        <f>Source!AW643</f>
        <v>1</v>
      </c>
      <c r="J702" s="9">
        <f>IF(Source!BC643&lt;&gt; 0, Source!BC643, 1)</f>
        <v>1</v>
      </c>
      <c r="K702" s="21">
        <f>Source!P643</f>
        <v>16.13</v>
      </c>
      <c r="L702" s="21"/>
    </row>
    <row r="703" spans="1:22" ht="14.25" x14ac:dyDescent="0.2">
      <c r="A703" s="18"/>
      <c r="B703" s="18"/>
      <c r="C703" s="18"/>
      <c r="D703" s="18" t="s">
        <v>733</v>
      </c>
      <c r="E703" s="19" t="s">
        <v>734</v>
      </c>
      <c r="F703" s="9">
        <f>Source!AT643</f>
        <v>70</v>
      </c>
      <c r="G703" s="21"/>
      <c r="H703" s="20"/>
      <c r="I703" s="9"/>
      <c r="J703" s="9"/>
      <c r="K703" s="21">
        <f>SUM(R699:R702)</f>
        <v>238.45</v>
      </c>
      <c r="L703" s="21"/>
    </row>
    <row r="704" spans="1:22" ht="14.25" x14ac:dyDescent="0.2">
      <c r="A704" s="18"/>
      <c r="B704" s="18"/>
      <c r="C704" s="18"/>
      <c r="D704" s="18" t="s">
        <v>735</v>
      </c>
      <c r="E704" s="19" t="s">
        <v>734</v>
      </c>
      <c r="F704" s="9">
        <f>Source!AU643</f>
        <v>10</v>
      </c>
      <c r="G704" s="21"/>
      <c r="H704" s="20"/>
      <c r="I704" s="9"/>
      <c r="J704" s="9"/>
      <c r="K704" s="21">
        <f>SUM(T699:T703)</f>
        <v>34.06</v>
      </c>
      <c r="L704" s="21"/>
    </row>
    <row r="705" spans="1:22" ht="14.25" x14ac:dyDescent="0.2">
      <c r="A705" s="18"/>
      <c r="B705" s="18"/>
      <c r="C705" s="18"/>
      <c r="D705" s="18" t="s">
        <v>736</v>
      </c>
      <c r="E705" s="19" t="s">
        <v>737</v>
      </c>
      <c r="F705" s="9">
        <f>Source!AQ643</f>
        <v>2.4</v>
      </c>
      <c r="G705" s="21"/>
      <c r="H705" s="20" t="str">
        <f>Source!DI643</f>
        <v/>
      </c>
      <c r="I705" s="9">
        <f>Source!AV643</f>
        <v>1</v>
      </c>
      <c r="J705" s="9"/>
      <c r="K705" s="21"/>
      <c r="L705" s="21">
        <f>Source!U643</f>
        <v>0.48</v>
      </c>
    </row>
    <row r="706" spans="1:22" ht="15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51">
        <f>K701+K702+K703+K704</f>
        <v>629.28</v>
      </c>
      <c r="K706" s="51"/>
      <c r="L706" s="24">
        <f>IF(Source!I643&lt;&gt;0, ROUND(J706/Source!I643, 2), 0)</f>
        <v>3146.4</v>
      </c>
      <c r="P706" s="22">
        <f>J706</f>
        <v>629.28</v>
      </c>
    </row>
    <row r="707" spans="1:22" ht="42.75" x14ac:dyDescent="0.2">
      <c r="A707" s="18">
        <v>79</v>
      </c>
      <c r="B707" s="18">
        <v>79</v>
      </c>
      <c r="C707" s="18" t="str">
        <f>Source!F644</f>
        <v>1.22-2203-78-1/1</v>
      </c>
      <c r="D707" s="18" t="str">
        <f>Source!G644</f>
        <v>Техническое обслуживание блока питания типа БРП-12-01Л /Источник вторичного электропитания 24В, 6.0А</v>
      </c>
      <c r="E707" s="19" t="str">
        <f>Source!H644</f>
        <v>шт.</v>
      </c>
      <c r="F707" s="9">
        <f>Source!I644</f>
        <v>1</v>
      </c>
      <c r="G707" s="21"/>
      <c r="H707" s="20"/>
      <c r="I707" s="9"/>
      <c r="J707" s="9"/>
      <c r="K707" s="21"/>
      <c r="L707" s="21"/>
      <c r="Q707">
        <f>ROUND((Source!BZ644/100)*ROUND((Source!AF644*Source!AV644)*Source!I644, 2), 2)</f>
        <v>668.89</v>
      </c>
      <c r="R707">
        <f>Source!X644</f>
        <v>668.89</v>
      </c>
      <c r="S707">
        <f>ROUND((Source!CA644/100)*ROUND((Source!AF644*Source!AV644)*Source!I644, 2), 2)</f>
        <v>95.56</v>
      </c>
      <c r="T707">
        <f>Source!Y644</f>
        <v>95.56</v>
      </c>
      <c r="U707">
        <f>ROUND((175/100)*ROUND((Source!AE644*Source!AV644)*Source!I644, 2), 2)</f>
        <v>0</v>
      </c>
      <c r="V707">
        <f>ROUND((108/100)*ROUND(Source!CS644*Source!I644, 2), 2)</f>
        <v>0</v>
      </c>
    </row>
    <row r="708" spans="1:22" ht="14.25" x14ac:dyDescent="0.2">
      <c r="A708" s="18"/>
      <c r="B708" s="18"/>
      <c r="C708" s="18"/>
      <c r="D708" s="18" t="s">
        <v>731</v>
      </c>
      <c r="E708" s="19"/>
      <c r="F708" s="9"/>
      <c r="G708" s="21">
        <f>Source!AO644</f>
        <v>477.78</v>
      </c>
      <c r="H708" s="20" t="str">
        <f>Source!DG644</f>
        <v>)*2</v>
      </c>
      <c r="I708" s="9">
        <f>Source!AV644</f>
        <v>1</v>
      </c>
      <c r="J708" s="9">
        <f>IF(Source!BA644&lt;&gt; 0, Source!BA644, 1)</f>
        <v>1</v>
      </c>
      <c r="K708" s="21">
        <f>Source!S644</f>
        <v>955.56</v>
      </c>
      <c r="L708" s="21"/>
    </row>
    <row r="709" spans="1:22" ht="14.25" x14ac:dyDescent="0.2">
      <c r="A709" s="18"/>
      <c r="B709" s="18"/>
      <c r="C709" s="18"/>
      <c r="D709" s="18" t="s">
        <v>732</v>
      </c>
      <c r="E709" s="19"/>
      <c r="F709" s="9"/>
      <c r="G709" s="21">
        <f>Source!AL644</f>
        <v>4.09</v>
      </c>
      <c r="H709" s="20" t="str">
        <f>Source!DD644</f>
        <v>)*2</v>
      </c>
      <c r="I709" s="9">
        <f>Source!AW644</f>
        <v>1</v>
      </c>
      <c r="J709" s="9">
        <f>IF(Source!BC644&lt;&gt; 0, Source!BC644, 1)</f>
        <v>1</v>
      </c>
      <c r="K709" s="21">
        <f>Source!P644</f>
        <v>8.18</v>
      </c>
      <c r="L709" s="21"/>
    </row>
    <row r="710" spans="1:22" ht="14.25" x14ac:dyDescent="0.2">
      <c r="A710" s="18"/>
      <c r="B710" s="18"/>
      <c r="C710" s="18"/>
      <c r="D710" s="18" t="s">
        <v>733</v>
      </c>
      <c r="E710" s="19" t="s">
        <v>734</v>
      </c>
      <c r="F710" s="9">
        <f>Source!AT644</f>
        <v>70</v>
      </c>
      <c r="G710" s="21"/>
      <c r="H710" s="20"/>
      <c r="I710" s="9"/>
      <c r="J710" s="9"/>
      <c r="K710" s="21">
        <f>SUM(R707:R709)</f>
        <v>668.89</v>
      </c>
      <c r="L710" s="21"/>
    </row>
    <row r="711" spans="1:22" ht="14.25" x14ac:dyDescent="0.2">
      <c r="A711" s="18"/>
      <c r="B711" s="18"/>
      <c r="C711" s="18"/>
      <c r="D711" s="18" t="s">
        <v>735</v>
      </c>
      <c r="E711" s="19" t="s">
        <v>734</v>
      </c>
      <c r="F711" s="9">
        <f>Source!AU644</f>
        <v>10</v>
      </c>
      <c r="G711" s="21"/>
      <c r="H711" s="20"/>
      <c r="I711" s="9"/>
      <c r="J711" s="9"/>
      <c r="K711" s="21">
        <f>SUM(T707:T710)</f>
        <v>95.56</v>
      </c>
      <c r="L711" s="21"/>
    </row>
    <row r="712" spans="1:22" ht="14.25" x14ac:dyDescent="0.2">
      <c r="A712" s="18"/>
      <c r="B712" s="18"/>
      <c r="C712" s="18"/>
      <c r="D712" s="18" t="s">
        <v>736</v>
      </c>
      <c r="E712" s="19" t="s">
        <v>737</v>
      </c>
      <c r="F712" s="9">
        <f>Source!AQ644</f>
        <v>0.72</v>
      </c>
      <c r="G712" s="21"/>
      <c r="H712" s="20" t="str">
        <f>Source!DI644</f>
        <v>)*2</v>
      </c>
      <c r="I712" s="9">
        <f>Source!AV644</f>
        <v>1</v>
      </c>
      <c r="J712" s="9"/>
      <c r="K712" s="21"/>
      <c r="L712" s="21">
        <f>Source!U644</f>
        <v>1.44</v>
      </c>
    </row>
    <row r="713" spans="1:22" ht="15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51">
        <f>K708+K709+K710+K711</f>
        <v>1728.1899999999998</v>
      </c>
      <c r="K713" s="51"/>
      <c r="L713" s="24">
        <f>IF(Source!I644&lt;&gt;0, ROUND(J713/Source!I644, 2), 0)</f>
        <v>1728.19</v>
      </c>
      <c r="P713" s="22">
        <f>J713</f>
        <v>1728.1899999999998</v>
      </c>
    </row>
    <row r="714" spans="1:22" ht="28.5" x14ac:dyDescent="0.2">
      <c r="A714" s="18">
        <v>80</v>
      </c>
      <c r="B714" s="18">
        <v>80</v>
      </c>
      <c r="C714" s="18" t="str">
        <f>Source!F646</f>
        <v>1.23-2303-12-1/1</v>
      </c>
      <c r="D714" s="18" t="str">
        <f>Source!G646</f>
        <v>Техническое обслуживание контроллеров логических операций</v>
      </c>
      <c r="E714" s="19" t="str">
        <f>Source!H646</f>
        <v>шт.</v>
      </c>
      <c r="F714" s="9">
        <f>Source!I646</f>
        <v>1</v>
      </c>
      <c r="G714" s="21"/>
      <c r="H714" s="20"/>
      <c r="I714" s="9"/>
      <c r="J714" s="9"/>
      <c r="K714" s="21"/>
      <c r="L714" s="21"/>
      <c r="Q714">
        <f>ROUND((Source!BZ646/100)*ROUND((Source!AF646*Source!AV646)*Source!I646, 2), 2)</f>
        <v>3695.92</v>
      </c>
      <c r="R714">
        <f>Source!X646</f>
        <v>3695.92</v>
      </c>
      <c r="S714">
        <f>ROUND((Source!CA646/100)*ROUND((Source!AF646*Source!AV646)*Source!I646, 2), 2)</f>
        <v>527.99</v>
      </c>
      <c r="T714">
        <f>Source!Y646</f>
        <v>527.99</v>
      </c>
      <c r="U714">
        <f>ROUND((175/100)*ROUND((Source!AE646*Source!AV646)*Source!I646, 2), 2)</f>
        <v>0</v>
      </c>
      <c r="V714">
        <f>ROUND((108/100)*ROUND(Source!CS646*Source!I646, 2), 2)</f>
        <v>0</v>
      </c>
    </row>
    <row r="715" spans="1:22" ht="14.25" x14ac:dyDescent="0.2">
      <c r="A715" s="18"/>
      <c r="B715" s="18"/>
      <c r="C715" s="18"/>
      <c r="D715" s="18" t="s">
        <v>731</v>
      </c>
      <c r="E715" s="19"/>
      <c r="F715" s="9"/>
      <c r="G715" s="21">
        <f>Source!AO646</f>
        <v>2639.94</v>
      </c>
      <c r="H715" s="20" t="str">
        <f>Source!DG646</f>
        <v>)*2</v>
      </c>
      <c r="I715" s="9">
        <f>Source!AV646</f>
        <v>1</v>
      </c>
      <c r="J715" s="9">
        <f>IF(Source!BA646&lt;&gt; 0, Source!BA646, 1)</f>
        <v>1</v>
      </c>
      <c r="K715" s="21">
        <f>Source!S646</f>
        <v>5279.88</v>
      </c>
      <c r="L715" s="21"/>
    </row>
    <row r="716" spans="1:22" ht="14.25" x14ac:dyDescent="0.2">
      <c r="A716" s="18"/>
      <c r="B716" s="18"/>
      <c r="C716" s="18"/>
      <c r="D716" s="18" t="s">
        <v>732</v>
      </c>
      <c r="E716" s="19"/>
      <c r="F716" s="9"/>
      <c r="G716" s="21">
        <f>Source!AL646</f>
        <v>4.97</v>
      </c>
      <c r="H716" s="20" t="str">
        <f>Source!DD646</f>
        <v>)*2</v>
      </c>
      <c r="I716" s="9">
        <f>Source!AW646</f>
        <v>1</v>
      </c>
      <c r="J716" s="9">
        <f>IF(Source!BC646&lt;&gt; 0, Source!BC646, 1)</f>
        <v>1</v>
      </c>
      <c r="K716" s="21">
        <f>Source!P646</f>
        <v>9.94</v>
      </c>
      <c r="L716" s="21"/>
    </row>
    <row r="717" spans="1:22" ht="14.25" x14ac:dyDescent="0.2">
      <c r="A717" s="18"/>
      <c r="B717" s="18"/>
      <c r="C717" s="18"/>
      <c r="D717" s="18" t="s">
        <v>733</v>
      </c>
      <c r="E717" s="19" t="s">
        <v>734</v>
      </c>
      <c r="F717" s="9">
        <f>Source!AT646</f>
        <v>70</v>
      </c>
      <c r="G717" s="21"/>
      <c r="H717" s="20"/>
      <c r="I717" s="9"/>
      <c r="J717" s="9"/>
      <c r="K717" s="21">
        <f>SUM(R714:R716)</f>
        <v>3695.92</v>
      </c>
      <c r="L717" s="21"/>
    </row>
    <row r="718" spans="1:22" ht="14.25" x14ac:dyDescent="0.2">
      <c r="A718" s="18"/>
      <c r="B718" s="18"/>
      <c r="C718" s="18"/>
      <c r="D718" s="18" t="s">
        <v>735</v>
      </c>
      <c r="E718" s="19" t="s">
        <v>734</v>
      </c>
      <c r="F718" s="9">
        <f>Source!AU646</f>
        <v>10</v>
      </c>
      <c r="G718" s="21"/>
      <c r="H718" s="20"/>
      <c r="I718" s="9"/>
      <c r="J718" s="9"/>
      <c r="K718" s="21">
        <f>SUM(T714:T717)</f>
        <v>527.99</v>
      </c>
      <c r="L718" s="21"/>
    </row>
    <row r="719" spans="1:22" ht="14.25" x14ac:dyDescent="0.2">
      <c r="A719" s="18"/>
      <c r="B719" s="18"/>
      <c r="C719" s="18"/>
      <c r="D719" s="18" t="s">
        <v>736</v>
      </c>
      <c r="E719" s="19" t="s">
        <v>737</v>
      </c>
      <c r="F719" s="9">
        <f>Source!AQ646</f>
        <v>3.72</v>
      </c>
      <c r="G719" s="21"/>
      <c r="H719" s="20" t="str">
        <f>Source!DI646</f>
        <v>)*2</v>
      </c>
      <c r="I719" s="9">
        <f>Source!AV646</f>
        <v>1</v>
      </c>
      <c r="J719" s="9"/>
      <c r="K719" s="21"/>
      <c r="L719" s="21">
        <f>Source!U646</f>
        <v>7.44</v>
      </c>
    </row>
    <row r="720" spans="1:22" ht="15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51">
        <f>K715+K716+K717+K718</f>
        <v>9513.73</v>
      </c>
      <c r="K720" s="51"/>
      <c r="L720" s="24">
        <f>IF(Source!I646&lt;&gt;0, ROUND(J720/Source!I646, 2), 0)</f>
        <v>9513.73</v>
      </c>
      <c r="P720" s="22">
        <f>J720</f>
        <v>9513.73</v>
      </c>
    </row>
    <row r="721" spans="1:22" ht="28.5" x14ac:dyDescent="0.2">
      <c r="A721" s="18">
        <v>81</v>
      </c>
      <c r="B721" s="18">
        <v>81</v>
      </c>
      <c r="C721" s="18" t="str">
        <f>Source!F647</f>
        <v>1.23-2303-11-1/1</v>
      </c>
      <c r="D721" s="18" t="str">
        <f>Source!G647</f>
        <v>Техническое обслуживание модулей аналоговых входных сигналов</v>
      </c>
      <c r="E721" s="19" t="str">
        <f>Source!H647</f>
        <v>шт.</v>
      </c>
      <c r="F721" s="9">
        <f>Source!I647</f>
        <v>2</v>
      </c>
      <c r="G721" s="21"/>
      <c r="H721" s="20"/>
      <c r="I721" s="9"/>
      <c r="J721" s="9"/>
      <c r="K721" s="21"/>
      <c r="L721" s="21"/>
      <c r="Q721">
        <f>ROUND((Source!BZ647/100)*ROUND((Source!AF647*Source!AV647)*Source!I647, 2), 2)</f>
        <v>6000.88</v>
      </c>
      <c r="R721">
        <f>Source!X647</f>
        <v>6000.88</v>
      </c>
      <c r="S721">
        <f>ROUND((Source!CA647/100)*ROUND((Source!AF647*Source!AV647)*Source!I647, 2), 2)</f>
        <v>857.27</v>
      </c>
      <c r="T721">
        <f>Source!Y647</f>
        <v>857.27</v>
      </c>
      <c r="U721">
        <f>ROUND((175/100)*ROUND((Source!AE647*Source!AV647)*Source!I647, 2), 2)</f>
        <v>0</v>
      </c>
      <c r="V721">
        <f>ROUND((108/100)*ROUND(Source!CS647*Source!I647, 2), 2)</f>
        <v>0</v>
      </c>
    </row>
    <row r="722" spans="1:22" ht="14.25" x14ac:dyDescent="0.2">
      <c r="A722" s="18"/>
      <c r="B722" s="18"/>
      <c r="C722" s="18"/>
      <c r="D722" s="18" t="s">
        <v>731</v>
      </c>
      <c r="E722" s="19"/>
      <c r="F722" s="9"/>
      <c r="G722" s="21">
        <f>Source!AO647</f>
        <v>2143.17</v>
      </c>
      <c r="H722" s="20" t="str">
        <f>Source!DG647</f>
        <v>)*2</v>
      </c>
      <c r="I722" s="9">
        <f>Source!AV647</f>
        <v>1</v>
      </c>
      <c r="J722" s="9">
        <f>IF(Source!BA647&lt;&gt; 0, Source!BA647, 1)</f>
        <v>1</v>
      </c>
      <c r="K722" s="21">
        <f>Source!S647</f>
        <v>8572.68</v>
      </c>
      <c r="L722" s="21"/>
    </row>
    <row r="723" spans="1:22" ht="14.25" x14ac:dyDescent="0.2">
      <c r="A723" s="18"/>
      <c r="B723" s="18"/>
      <c r="C723" s="18"/>
      <c r="D723" s="18" t="s">
        <v>732</v>
      </c>
      <c r="E723" s="19"/>
      <c r="F723" s="9"/>
      <c r="G723" s="21">
        <f>Source!AL647</f>
        <v>4.97</v>
      </c>
      <c r="H723" s="20" t="str">
        <f>Source!DD647</f>
        <v>)*2</v>
      </c>
      <c r="I723" s="9">
        <f>Source!AW647</f>
        <v>1</v>
      </c>
      <c r="J723" s="9">
        <f>IF(Source!BC647&lt;&gt; 0, Source!BC647, 1)</f>
        <v>1</v>
      </c>
      <c r="K723" s="21">
        <f>Source!P647</f>
        <v>19.88</v>
      </c>
      <c r="L723" s="21"/>
    </row>
    <row r="724" spans="1:22" ht="14.25" x14ac:dyDescent="0.2">
      <c r="A724" s="18"/>
      <c r="B724" s="18"/>
      <c r="C724" s="18"/>
      <c r="D724" s="18" t="s">
        <v>733</v>
      </c>
      <c r="E724" s="19" t="s">
        <v>734</v>
      </c>
      <c r="F724" s="9">
        <f>Source!AT647</f>
        <v>70</v>
      </c>
      <c r="G724" s="21"/>
      <c r="H724" s="20"/>
      <c r="I724" s="9"/>
      <c r="J724" s="9"/>
      <c r="K724" s="21">
        <f>SUM(R721:R723)</f>
        <v>6000.88</v>
      </c>
      <c r="L724" s="21"/>
    </row>
    <row r="725" spans="1:22" ht="14.25" x14ac:dyDescent="0.2">
      <c r="A725" s="18"/>
      <c r="B725" s="18"/>
      <c r="C725" s="18"/>
      <c r="D725" s="18" t="s">
        <v>735</v>
      </c>
      <c r="E725" s="19" t="s">
        <v>734</v>
      </c>
      <c r="F725" s="9">
        <f>Source!AU647</f>
        <v>10</v>
      </c>
      <c r="G725" s="21"/>
      <c r="H725" s="20"/>
      <c r="I725" s="9"/>
      <c r="J725" s="9"/>
      <c r="K725" s="21">
        <f>SUM(T721:T724)</f>
        <v>857.27</v>
      </c>
      <c r="L725" s="21"/>
    </row>
    <row r="726" spans="1:22" ht="14.25" x14ac:dyDescent="0.2">
      <c r="A726" s="18"/>
      <c r="B726" s="18"/>
      <c r="C726" s="18"/>
      <c r="D726" s="18" t="s">
        <v>736</v>
      </c>
      <c r="E726" s="19" t="s">
        <v>737</v>
      </c>
      <c r="F726" s="9">
        <f>Source!AQ647</f>
        <v>3.02</v>
      </c>
      <c r="G726" s="21"/>
      <c r="H726" s="20" t="str">
        <f>Source!DI647</f>
        <v>)*2</v>
      </c>
      <c r="I726" s="9">
        <f>Source!AV647</f>
        <v>1</v>
      </c>
      <c r="J726" s="9"/>
      <c r="K726" s="21"/>
      <c r="L726" s="21">
        <f>Source!U647</f>
        <v>12.08</v>
      </c>
    </row>
    <row r="727" spans="1:22" ht="15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51">
        <f>K722+K723+K724+K725</f>
        <v>15450.71</v>
      </c>
      <c r="K727" s="51"/>
      <c r="L727" s="24">
        <f>IF(Source!I647&lt;&gt;0, ROUND(J727/Source!I647, 2), 0)</f>
        <v>7725.36</v>
      </c>
      <c r="P727" s="22">
        <f>J727</f>
        <v>15450.71</v>
      </c>
    </row>
    <row r="728" spans="1:22" ht="28.5" x14ac:dyDescent="0.2">
      <c r="A728" s="18">
        <v>82</v>
      </c>
      <c r="B728" s="18">
        <v>82</v>
      </c>
      <c r="C728" s="18" t="str">
        <f>Source!F648</f>
        <v>1.23-2303-11-3/1</v>
      </c>
      <c r="D728" s="18" t="str">
        <f>Source!G648</f>
        <v>Техническое обслуживание модулей дискретных входных сигналов</v>
      </c>
      <c r="E728" s="19" t="str">
        <f>Source!H648</f>
        <v>шт.</v>
      </c>
      <c r="F728" s="9">
        <f>Source!I648</f>
        <v>4</v>
      </c>
      <c r="G728" s="21"/>
      <c r="H728" s="20"/>
      <c r="I728" s="9"/>
      <c r="J728" s="9"/>
      <c r="K728" s="21"/>
      <c r="L728" s="21"/>
      <c r="Q728">
        <f>ROUND((Source!BZ648/100)*ROUND((Source!AF648*Source!AV648)*Source!I648, 2), 2)</f>
        <v>11445.39</v>
      </c>
      <c r="R728">
        <f>Source!X648</f>
        <v>11445.39</v>
      </c>
      <c r="S728">
        <f>ROUND((Source!CA648/100)*ROUND((Source!AF648*Source!AV648)*Source!I648, 2), 2)</f>
        <v>1635.06</v>
      </c>
      <c r="T728">
        <f>Source!Y648</f>
        <v>1635.06</v>
      </c>
      <c r="U728">
        <f>ROUND((175/100)*ROUND((Source!AE648*Source!AV648)*Source!I648, 2), 2)</f>
        <v>0</v>
      </c>
      <c r="V728">
        <f>ROUND((108/100)*ROUND(Source!CS648*Source!I648, 2), 2)</f>
        <v>0</v>
      </c>
    </row>
    <row r="729" spans="1:22" ht="14.25" x14ac:dyDescent="0.2">
      <c r="A729" s="18"/>
      <c r="B729" s="18"/>
      <c r="C729" s="18"/>
      <c r="D729" s="18" t="s">
        <v>731</v>
      </c>
      <c r="E729" s="19"/>
      <c r="F729" s="9"/>
      <c r="G729" s="21">
        <f>Source!AO648</f>
        <v>2043.82</v>
      </c>
      <c r="H729" s="20" t="str">
        <f>Source!DG648</f>
        <v>)*2</v>
      </c>
      <c r="I729" s="9">
        <f>Source!AV648</f>
        <v>1</v>
      </c>
      <c r="J729" s="9">
        <f>IF(Source!BA648&lt;&gt; 0, Source!BA648, 1)</f>
        <v>1</v>
      </c>
      <c r="K729" s="21">
        <f>Source!S648</f>
        <v>16350.56</v>
      </c>
      <c r="L729" s="21"/>
    </row>
    <row r="730" spans="1:22" ht="14.25" x14ac:dyDescent="0.2">
      <c r="A730" s="18"/>
      <c r="B730" s="18"/>
      <c r="C730" s="18"/>
      <c r="D730" s="18" t="s">
        <v>732</v>
      </c>
      <c r="E730" s="19"/>
      <c r="F730" s="9"/>
      <c r="G730" s="21">
        <f>Source!AL648</f>
        <v>4.97</v>
      </c>
      <c r="H730" s="20" t="str">
        <f>Source!DD648</f>
        <v>)*2</v>
      </c>
      <c r="I730" s="9">
        <f>Source!AW648</f>
        <v>1</v>
      </c>
      <c r="J730" s="9">
        <f>IF(Source!BC648&lt;&gt; 0, Source!BC648, 1)</f>
        <v>1</v>
      </c>
      <c r="K730" s="21">
        <f>Source!P648</f>
        <v>39.76</v>
      </c>
      <c r="L730" s="21"/>
    </row>
    <row r="731" spans="1:22" ht="14.25" x14ac:dyDescent="0.2">
      <c r="A731" s="18"/>
      <c r="B731" s="18"/>
      <c r="C731" s="18"/>
      <c r="D731" s="18" t="s">
        <v>733</v>
      </c>
      <c r="E731" s="19" t="s">
        <v>734</v>
      </c>
      <c r="F731" s="9">
        <f>Source!AT648</f>
        <v>70</v>
      </c>
      <c r="G731" s="21"/>
      <c r="H731" s="20"/>
      <c r="I731" s="9"/>
      <c r="J731" s="9"/>
      <c r="K731" s="21">
        <f>SUM(R728:R730)</f>
        <v>11445.39</v>
      </c>
      <c r="L731" s="21"/>
    </row>
    <row r="732" spans="1:22" ht="14.25" x14ac:dyDescent="0.2">
      <c r="A732" s="18"/>
      <c r="B732" s="18"/>
      <c r="C732" s="18"/>
      <c r="D732" s="18" t="s">
        <v>735</v>
      </c>
      <c r="E732" s="19" t="s">
        <v>734</v>
      </c>
      <c r="F732" s="9">
        <f>Source!AU648</f>
        <v>10</v>
      </c>
      <c r="G732" s="21"/>
      <c r="H732" s="20"/>
      <c r="I732" s="9"/>
      <c r="J732" s="9"/>
      <c r="K732" s="21">
        <f>SUM(T728:T731)</f>
        <v>1635.06</v>
      </c>
      <c r="L732" s="21"/>
    </row>
    <row r="733" spans="1:22" ht="14.25" x14ac:dyDescent="0.2">
      <c r="A733" s="18"/>
      <c r="B733" s="18"/>
      <c r="C733" s="18"/>
      <c r="D733" s="18" t="s">
        <v>736</v>
      </c>
      <c r="E733" s="19" t="s">
        <v>737</v>
      </c>
      <c r="F733" s="9">
        <f>Source!AQ648</f>
        <v>2.88</v>
      </c>
      <c r="G733" s="21"/>
      <c r="H733" s="20" t="str">
        <f>Source!DI648</f>
        <v>)*2</v>
      </c>
      <c r="I733" s="9">
        <f>Source!AV648</f>
        <v>1</v>
      </c>
      <c r="J733" s="9"/>
      <c r="K733" s="21"/>
      <c r="L733" s="21">
        <f>Source!U648</f>
        <v>23.04</v>
      </c>
    </row>
    <row r="734" spans="1:22" ht="15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51">
        <f>K729+K730+K731+K732</f>
        <v>29470.77</v>
      </c>
      <c r="K734" s="51"/>
      <c r="L734" s="24">
        <f>IF(Source!I648&lt;&gt;0, ROUND(J734/Source!I648, 2), 0)</f>
        <v>7367.69</v>
      </c>
      <c r="P734" s="22">
        <f>J734</f>
        <v>29470.77</v>
      </c>
    </row>
    <row r="735" spans="1:22" ht="143.25" x14ac:dyDescent="0.2">
      <c r="A735" s="18">
        <v>83</v>
      </c>
      <c r="B735" s="18">
        <v>83</v>
      </c>
      <c r="C735" s="18" t="s">
        <v>745</v>
      </c>
      <c r="D735" s="18" t="s">
        <v>746</v>
      </c>
      <c r="E735" s="19" t="str">
        <f>Source!H649</f>
        <v>шт.</v>
      </c>
      <c r="F735" s="9">
        <f>Source!I649</f>
        <v>3</v>
      </c>
      <c r="G735" s="21"/>
      <c r="H735" s="20"/>
      <c r="I735" s="9"/>
      <c r="J735" s="9"/>
      <c r="K735" s="21"/>
      <c r="L735" s="21"/>
      <c r="Q735">
        <f>ROUND((Source!BZ649/100)*ROUND((Source!AF649*Source!AV649)*Source!I649, 2), 2)</f>
        <v>1815.16</v>
      </c>
      <c r="R735">
        <f>Source!X649</f>
        <v>1815.16</v>
      </c>
      <c r="S735">
        <f>ROUND((Source!CA649/100)*ROUND((Source!AF649*Source!AV649)*Source!I649, 2), 2)</f>
        <v>259.31</v>
      </c>
      <c r="T735">
        <f>Source!Y649</f>
        <v>259.31</v>
      </c>
      <c r="U735">
        <f>ROUND((175/100)*ROUND((Source!AE649*Source!AV649)*Source!I649, 2), 2)</f>
        <v>303.63</v>
      </c>
      <c r="V735">
        <f>ROUND((108/100)*ROUND(Source!CS649*Source!I649, 2), 2)</f>
        <v>187.38</v>
      </c>
    </row>
    <row r="736" spans="1:22" ht="14.25" x14ac:dyDescent="0.2">
      <c r="A736" s="18"/>
      <c r="B736" s="18"/>
      <c r="C736" s="18"/>
      <c r="D736" s="18" t="s">
        <v>731</v>
      </c>
      <c r="E736" s="19"/>
      <c r="F736" s="9"/>
      <c r="G736" s="21">
        <f>Source!AO649</f>
        <v>617.4</v>
      </c>
      <c r="H736" s="20" t="str">
        <f>Source!DG649</f>
        <v>)*2)*0,70</v>
      </c>
      <c r="I736" s="9">
        <f>Source!AV649</f>
        <v>1</v>
      </c>
      <c r="J736" s="9">
        <f>IF(Source!BA649&lt;&gt; 0, Source!BA649, 1)</f>
        <v>1</v>
      </c>
      <c r="K736" s="21">
        <f>Source!S649</f>
        <v>2593.08</v>
      </c>
      <c r="L736" s="21"/>
    </row>
    <row r="737" spans="1:22" ht="14.25" x14ac:dyDescent="0.2">
      <c r="A737" s="18"/>
      <c r="B737" s="18"/>
      <c r="C737" s="18"/>
      <c r="D737" s="18" t="s">
        <v>738</v>
      </c>
      <c r="E737" s="19"/>
      <c r="F737" s="9"/>
      <c r="G737" s="21">
        <f>Source!AM649</f>
        <v>65.150000000000006</v>
      </c>
      <c r="H737" s="20" t="str">
        <f>Source!DE649</f>
        <v>)*2*0,70</v>
      </c>
      <c r="I737" s="9">
        <f>Source!AV649</f>
        <v>1</v>
      </c>
      <c r="J737" s="9">
        <f>IF(Source!BB649&lt;&gt; 0, Source!BB649, 1)</f>
        <v>1</v>
      </c>
      <c r="K737" s="21">
        <f>Source!Q649</f>
        <v>273.63</v>
      </c>
      <c r="L737" s="21"/>
    </row>
    <row r="738" spans="1:22" ht="14.25" x14ac:dyDescent="0.2">
      <c r="A738" s="18"/>
      <c r="B738" s="18"/>
      <c r="C738" s="18"/>
      <c r="D738" s="18" t="s">
        <v>739</v>
      </c>
      <c r="E738" s="19"/>
      <c r="F738" s="9"/>
      <c r="G738" s="21">
        <f>Source!AN649</f>
        <v>41.31</v>
      </c>
      <c r="H738" s="20" t="str">
        <f>Source!DF649</f>
        <v>)*2*0,70</v>
      </c>
      <c r="I738" s="9">
        <f>Source!AV649</f>
        <v>1</v>
      </c>
      <c r="J738" s="9">
        <f>IF(Source!BS649&lt;&gt; 0, Source!BS649, 1)</f>
        <v>1</v>
      </c>
      <c r="K738" s="27">
        <f>Source!R649</f>
        <v>173.5</v>
      </c>
      <c r="L738" s="21"/>
    </row>
    <row r="739" spans="1:22" ht="14.25" x14ac:dyDescent="0.2">
      <c r="A739" s="18"/>
      <c r="B739" s="18"/>
      <c r="C739" s="18"/>
      <c r="D739" s="18" t="s">
        <v>732</v>
      </c>
      <c r="E739" s="19"/>
      <c r="F739" s="9"/>
      <c r="G739" s="21">
        <f>Source!AL649</f>
        <v>0.47</v>
      </c>
      <c r="H739" s="20" t="str">
        <f>Source!DD649</f>
        <v>)*2)*1</v>
      </c>
      <c r="I739" s="9">
        <f>Source!AW649</f>
        <v>1</v>
      </c>
      <c r="J739" s="9">
        <f>IF(Source!BC649&lt;&gt; 0, Source!BC649, 1)</f>
        <v>1</v>
      </c>
      <c r="K739" s="21">
        <f>Source!P649</f>
        <v>2.82</v>
      </c>
      <c r="L739" s="21"/>
    </row>
    <row r="740" spans="1:22" ht="14.25" x14ac:dyDescent="0.2">
      <c r="A740" s="18"/>
      <c r="B740" s="18"/>
      <c r="C740" s="18"/>
      <c r="D740" s="18" t="s">
        <v>733</v>
      </c>
      <c r="E740" s="19" t="s">
        <v>734</v>
      </c>
      <c r="F740" s="9">
        <f>Source!AT649</f>
        <v>70</v>
      </c>
      <c r="G740" s="21"/>
      <c r="H740" s="20"/>
      <c r="I740" s="9"/>
      <c r="J740" s="9"/>
      <c r="K740" s="21">
        <f>SUM(R735:R739)</f>
        <v>1815.16</v>
      </c>
      <c r="L740" s="21"/>
    </row>
    <row r="741" spans="1:22" ht="14.25" x14ac:dyDescent="0.2">
      <c r="A741" s="18"/>
      <c r="B741" s="18"/>
      <c r="C741" s="18"/>
      <c r="D741" s="18" t="s">
        <v>735</v>
      </c>
      <c r="E741" s="19" t="s">
        <v>734</v>
      </c>
      <c r="F741" s="9">
        <f>Source!AU649</f>
        <v>10</v>
      </c>
      <c r="G741" s="21"/>
      <c r="H741" s="20"/>
      <c r="I741" s="9"/>
      <c r="J741" s="9"/>
      <c r="K741" s="21">
        <f>SUM(T735:T740)</f>
        <v>259.31</v>
      </c>
      <c r="L741" s="21"/>
    </row>
    <row r="742" spans="1:22" ht="14.25" x14ac:dyDescent="0.2">
      <c r="A742" s="18"/>
      <c r="B742" s="18"/>
      <c r="C742" s="18"/>
      <c r="D742" s="18" t="s">
        <v>740</v>
      </c>
      <c r="E742" s="19" t="s">
        <v>734</v>
      </c>
      <c r="F742" s="9">
        <f>108</f>
        <v>108</v>
      </c>
      <c r="G742" s="21"/>
      <c r="H742" s="20"/>
      <c r="I742" s="9"/>
      <c r="J742" s="9"/>
      <c r="K742" s="21">
        <f>SUM(V735:V741)</f>
        <v>187.38</v>
      </c>
      <c r="L742" s="21"/>
    </row>
    <row r="743" spans="1:22" ht="14.25" x14ac:dyDescent="0.2">
      <c r="A743" s="18"/>
      <c r="B743" s="18"/>
      <c r="C743" s="18"/>
      <c r="D743" s="18" t="s">
        <v>736</v>
      </c>
      <c r="E743" s="19" t="s">
        <v>737</v>
      </c>
      <c r="F743" s="9">
        <f>Source!AQ649</f>
        <v>0.87</v>
      </c>
      <c r="G743" s="21"/>
      <c r="H743" s="20" t="str">
        <f>Source!DI649</f>
        <v>)*2)*0,70</v>
      </c>
      <c r="I743" s="9">
        <f>Source!AV649</f>
        <v>1</v>
      </c>
      <c r="J743" s="9"/>
      <c r="K743" s="21"/>
      <c r="L743" s="21">
        <f>Source!U649</f>
        <v>3.6539999999999999</v>
      </c>
    </row>
    <row r="744" spans="1:22" ht="15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51">
        <f>K736+K737+K739+K740+K741+K742</f>
        <v>5131.380000000001</v>
      </c>
      <c r="K744" s="51"/>
      <c r="L744" s="24">
        <f>IF(Source!I649&lt;&gt;0, ROUND(J744/Source!I649, 2), 0)</f>
        <v>1710.46</v>
      </c>
      <c r="P744" s="22">
        <f>J744</f>
        <v>5131.380000000001</v>
      </c>
    </row>
    <row r="745" spans="1:22" ht="57" x14ac:dyDescent="0.2">
      <c r="A745" s="18">
        <v>84</v>
      </c>
      <c r="B745" s="18">
        <v>84</v>
      </c>
      <c r="C745" s="18" t="str">
        <f>Source!F651</f>
        <v>1.23-2103-15-1/1</v>
      </c>
      <c r="D745" s="18" t="str">
        <f>Source!G651</f>
        <v>Техническое обслуживание сигнализатора уровня /Извещатель протечки воды H2O-Контакт NEW исп.2 (Н.З.)  Альянс</v>
      </c>
      <c r="E745" s="19" t="str">
        <f>Source!H651</f>
        <v>шт.</v>
      </c>
      <c r="F745" s="9">
        <f>Source!I651</f>
        <v>6</v>
      </c>
      <c r="G745" s="21"/>
      <c r="H745" s="20"/>
      <c r="I745" s="9"/>
      <c r="J745" s="9"/>
      <c r="K745" s="21"/>
      <c r="L745" s="21"/>
      <c r="Q745">
        <f>ROUND((Source!BZ651/100)*ROUND((Source!AF651*Source!AV651)*Source!I651, 2), 2)</f>
        <v>6410.12</v>
      </c>
      <c r="R745">
        <f>Source!X651</f>
        <v>6410.12</v>
      </c>
      <c r="S745">
        <f>ROUND((Source!CA651/100)*ROUND((Source!AF651*Source!AV651)*Source!I651, 2), 2)</f>
        <v>915.73</v>
      </c>
      <c r="T745">
        <f>Source!Y651</f>
        <v>915.73</v>
      </c>
      <c r="U745">
        <f>ROUND((175/100)*ROUND((Source!AE651*Source!AV651)*Source!I651, 2), 2)</f>
        <v>0</v>
      </c>
      <c r="V745">
        <f>ROUND((108/100)*ROUND(Source!CS651*Source!I651, 2), 2)</f>
        <v>0</v>
      </c>
    </row>
    <row r="746" spans="1:22" ht="14.25" x14ac:dyDescent="0.2">
      <c r="A746" s="18"/>
      <c r="B746" s="18"/>
      <c r="C746" s="18"/>
      <c r="D746" s="18" t="s">
        <v>731</v>
      </c>
      <c r="E746" s="19"/>
      <c r="F746" s="9"/>
      <c r="G746" s="21">
        <f>Source!AO651</f>
        <v>763.11</v>
      </c>
      <c r="H746" s="20" t="str">
        <f>Source!DG651</f>
        <v>)*2</v>
      </c>
      <c r="I746" s="9">
        <f>Source!AV651</f>
        <v>1</v>
      </c>
      <c r="J746" s="9">
        <f>IF(Source!BA651&lt;&gt; 0, Source!BA651, 1)</f>
        <v>1</v>
      </c>
      <c r="K746" s="21">
        <f>Source!S651</f>
        <v>9157.32</v>
      </c>
      <c r="L746" s="21"/>
    </row>
    <row r="747" spans="1:22" ht="14.25" x14ac:dyDescent="0.2">
      <c r="A747" s="18"/>
      <c r="B747" s="18"/>
      <c r="C747" s="18"/>
      <c r="D747" s="18" t="s">
        <v>732</v>
      </c>
      <c r="E747" s="19"/>
      <c r="F747" s="9"/>
      <c r="G747" s="21">
        <f>Source!AL651</f>
        <v>22.54</v>
      </c>
      <c r="H747" s="20" t="str">
        <f>Source!DD651</f>
        <v>)*2</v>
      </c>
      <c r="I747" s="9">
        <f>Source!AW651</f>
        <v>1</v>
      </c>
      <c r="J747" s="9">
        <f>IF(Source!BC651&lt;&gt; 0, Source!BC651, 1)</f>
        <v>1</v>
      </c>
      <c r="K747" s="21">
        <f>Source!P651</f>
        <v>270.48</v>
      </c>
      <c r="L747" s="21"/>
    </row>
    <row r="748" spans="1:22" ht="14.25" x14ac:dyDescent="0.2">
      <c r="A748" s="18"/>
      <c r="B748" s="18"/>
      <c r="C748" s="18"/>
      <c r="D748" s="18" t="s">
        <v>733</v>
      </c>
      <c r="E748" s="19" t="s">
        <v>734</v>
      </c>
      <c r="F748" s="9">
        <f>Source!AT651</f>
        <v>70</v>
      </c>
      <c r="G748" s="21"/>
      <c r="H748" s="20"/>
      <c r="I748" s="9"/>
      <c r="J748" s="9"/>
      <c r="K748" s="21">
        <f>SUM(R745:R747)</f>
        <v>6410.12</v>
      </c>
      <c r="L748" s="21"/>
    </row>
    <row r="749" spans="1:22" ht="14.25" x14ac:dyDescent="0.2">
      <c r="A749" s="18"/>
      <c r="B749" s="18"/>
      <c r="C749" s="18"/>
      <c r="D749" s="18" t="s">
        <v>735</v>
      </c>
      <c r="E749" s="19" t="s">
        <v>734</v>
      </c>
      <c r="F749" s="9">
        <f>Source!AU651</f>
        <v>10</v>
      </c>
      <c r="G749" s="21"/>
      <c r="H749" s="20"/>
      <c r="I749" s="9"/>
      <c r="J749" s="9"/>
      <c r="K749" s="21">
        <f>SUM(T745:T748)</f>
        <v>915.73</v>
      </c>
      <c r="L749" s="21"/>
    </row>
    <row r="750" spans="1:22" ht="14.25" x14ac:dyDescent="0.2">
      <c r="A750" s="18"/>
      <c r="B750" s="18"/>
      <c r="C750" s="18"/>
      <c r="D750" s="18" t="s">
        <v>736</v>
      </c>
      <c r="E750" s="19" t="s">
        <v>737</v>
      </c>
      <c r="F750" s="9">
        <f>Source!AQ651</f>
        <v>0.92</v>
      </c>
      <c r="G750" s="21"/>
      <c r="H750" s="20" t="str">
        <f>Source!DI651</f>
        <v>)*2</v>
      </c>
      <c r="I750" s="9">
        <f>Source!AV651</f>
        <v>1</v>
      </c>
      <c r="J750" s="9"/>
      <c r="K750" s="21"/>
      <c r="L750" s="21">
        <f>Source!U651</f>
        <v>11.040000000000001</v>
      </c>
    </row>
    <row r="751" spans="1:22" ht="15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51">
        <f>K746+K747+K748+K749</f>
        <v>16753.649999999998</v>
      </c>
      <c r="K751" s="51"/>
      <c r="L751" s="24">
        <f>IF(Source!I651&lt;&gt;0, ROUND(J751/Source!I651, 2), 0)</f>
        <v>2792.28</v>
      </c>
      <c r="P751" s="22">
        <f>J751</f>
        <v>16753.649999999998</v>
      </c>
    </row>
    <row r="752" spans="1:22" ht="85.5" x14ac:dyDescent="0.2">
      <c r="A752" s="18">
        <v>85</v>
      </c>
      <c r="B752" s="18">
        <v>85</v>
      </c>
      <c r="C752" s="18" t="str">
        <f>Source!F652</f>
        <v>1.23-2103-9-7/1</v>
      </c>
      <c r="D752" s="18" t="str">
        <f>Source!G652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E752" s="19" t="str">
        <f>Source!H652</f>
        <v>шт.</v>
      </c>
      <c r="F752" s="9">
        <f>Source!I652</f>
        <v>14</v>
      </c>
      <c r="G752" s="21"/>
      <c r="H752" s="20"/>
      <c r="I752" s="9"/>
      <c r="J752" s="9"/>
      <c r="K752" s="21"/>
      <c r="L752" s="21"/>
      <c r="Q752">
        <f>ROUND((Source!BZ652/100)*ROUND((Source!AF652*Source!AV652)*Source!I652, 2), 2)</f>
        <v>9682.2000000000007</v>
      </c>
      <c r="R752">
        <f>Source!X652</f>
        <v>9682.2000000000007</v>
      </c>
      <c r="S752">
        <f>ROUND((Source!CA652/100)*ROUND((Source!AF652*Source!AV652)*Source!I652, 2), 2)</f>
        <v>1383.17</v>
      </c>
      <c r="T752">
        <f>Source!Y652</f>
        <v>1383.17</v>
      </c>
      <c r="U752">
        <f>ROUND((175/100)*ROUND((Source!AE652*Source!AV652)*Source!I652, 2), 2)</f>
        <v>0</v>
      </c>
      <c r="V752">
        <f>ROUND((108/100)*ROUND(Source!CS652*Source!I652, 2), 2)</f>
        <v>0</v>
      </c>
    </row>
    <row r="753" spans="1:22" ht="14.25" x14ac:dyDescent="0.2">
      <c r="A753" s="18"/>
      <c r="B753" s="18"/>
      <c r="C753" s="18"/>
      <c r="D753" s="18" t="s">
        <v>731</v>
      </c>
      <c r="E753" s="19"/>
      <c r="F753" s="9"/>
      <c r="G753" s="21">
        <f>Source!AO652</f>
        <v>493.99</v>
      </c>
      <c r="H753" s="20" t="str">
        <f>Source!DG652</f>
        <v>)*2</v>
      </c>
      <c r="I753" s="9">
        <f>Source!AV652</f>
        <v>1</v>
      </c>
      <c r="J753" s="9">
        <f>IF(Source!BA652&lt;&gt; 0, Source!BA652, 1)</f>
        <v>1</v>
      </c>
      <c r="K753" s="21">
        <f>Source!S652</f>
        <v>13831.72</v>
      </c>
      <c r="L753" s="21"/>
    </row>
    <row r="754" spans="1:22" ht="14.25" x14ac:dyDescent="0.2">
      <c r="A754" s="18"/>
      <c r="B754" s="18"/>
      <c r="C754" s="18"/>
      <c r="D754" s="18" t="s">
        <v>733</v>
      </c>
      <c r="E754" s="19" t="s">
        <v>734</v>
      </c>
      <c r="F754" s="9">
        <f>Source!AT652</f>
        <v>70</v>
      </c>
      <c r="G754" s="21"/>
      <c r="H754" s="20"/>
      <c r="I754" s="9"/>
      <c r="J754" s="9"/>
      <c r="K754" s="21">
        <f>SUM(R752:R753)</f>
        <v>9682.2000000000007</v>
      </c>
      <c r="L754" s="21"/>
    </row>
    <row r="755" spans="1:22" ht="14.25" x14ac:dyDescent="0.2">
      <c r="A755" s="18"/>
      <c r="B755" s="18"/>
      <c r="C755" s="18"/>
      <c r="D755" s="18" t="s">
        <v>735</v>
      </c>
      <c r="E755" s="19" t="s">
        <v>734</v>
      </c>
      <c r="F755" s="9">
        <f>Source!AU652</f>
        <v>10</v>
      </c>
      <c r="G755" s="21"/>
      <c r="H755" s="20"/>
      <c r="I755" s="9"/>
      <c r="J755" s="9"/>
      <c r="K755" s="21">
        <f>SUM(T752:T754)</f>
        <v>1383.17</v>
      </c>
      <c r="L755" s="21"/>
    </row>
    <row r="756" spans="1:22" ht="14.25" x14ac:dyDescent="0.2">
      <c r="A756" s="18"/>
      <c r="B756" s="18"/>
      <c r="C756" s="18"/>
      <c r="D756" s="18" t="s">
        <v>736</v>
      </c>
      <c r="E756" s="19" t="s">
        <v>737</v>
      </c>
      <c r="F756" s="9">
        <f>Source!AQ652</f>
        <v>0.8</v>
      </c>
      <c r="G756" s="21"/>
      <c r="H756" s="20" t="str">
        <f>Source!DI652</f>
        <v>)*2</v>
      </c>
      <c r="I756" s="9">
        <f>Source!AV652</f>
        <v>1</v>
      </c>
      <c r="J756" s="9"/>
      <c r="K756" s="21"/>
      <c r="L756" s="21">
        <f>Source!U652</f>
        <v>22.400000000000002</v>
      </c>
    </row>
    <row r="757" spans="1:22" ht="15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51">
        <f>K753+K754+K755</f>
        <v>24897.089999999997</v>
      </c>
      <c r="K757" s="51"/>
      <c r="L757" s="24">
        <f>IF(Source!I652&lt;&gt;0, ROUND(J757/Source!I652, 2), 0)</f>
        <v>1778.36</v>
      </c>
      <c r="P757" s="22">
        <f>J757</f>
        <v>24897.089999999997</v>
      </c>
    </row>
    <row r="758" spans="1:22" ht="71.25" x14ac:dyDescent="0.2">
      <c r="A758" s="18">
        <v>86</v>
      </c>
      <c r="B758" s="18">
        <v>86</v>
      </c>
      <c r="C758" s="18" t="str">
        <f>Source!F653</f>
        <v>1.23-2103-9-8/1</v>
      </c>
      <c r="D758" s="18" t="str">
        <f>Source!G653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E758" s="19" t="str">
        <f>Source!H653</f>
        <v>шт.</v>
      </c>
      <c r="F758" s="9">
        <f>Source!I653</f>
        <v>2</v>
      </c>
      <c r="G758" s="21"/>
      <c r="H758" s="20"/>
      <c r="I758" s="9"/>
      <c r="J758" s="9"/>
      <c r="K758" s="21"/>
      <c r="L758" s="21"/>
      <c r="Q758">
        <f>ROUND((Source!BZ653/100)*ROUND((Source!AF653*Source!AV653)*Source!I653, 2), 2)</f>
        <v>1417.75</v>
      </c>
      <c r="R758">
        <f>Source!X653</f>
        <v>1417.75</v>
      </c>
      <c r="S758">
        <f>ROUND((Source!CA653/100)*ROUND((Source!AF653*Source!AV653)*Source!I653, 2), 2)</f>
        <v>202.54</v>
      </c>
      <c r="T758">
        <f>Source!Y653</f>
        <v>202.54</v>
      </c>
      <c r="U758">
        <f>ROUND((175/100)*ROUND((Source!AE653*Source!AV653)*Source!I653, 2), 2)</f>
        <v>0</v>
      </c>
      <c r="V758">
        <f>ROUND((108/100)*ROUND(Source!CS653*Source!I653, 2), 2)</f>
        <v>0</v>
      </c>
    </row>
    <row r="759" spans="1:22" ht="14.25" x14ac:dyDescent="0.2">
      <c r="A759" s="18"/>
      <c r="B759" s="18"/>
      <c r="C759" s="18"/>
      <c r="D759" s="18" t="s">
        <v>731</v>
      </c>
      <c r="E759" s="19"/>
      <c r="F759" s="9"/>
      <c r="G759" s="21">
        <f>Source!AO653</f>
        <v>506.34</v>
      </c>
      <c r="H759" s="20" t="str">
        <f>Source!DG653</f>
        <v>)*2</v>
      </c>
      <c r="I759" s="9">
        <f>Source!AV653</f>
        <v>1</v>
      </c>
      <c r="J759" s="9">
        <f>IF(Source!BA653&lt;&gt; 0, Source!BA653, 1)</f>
        <v>1</v>
      </c>
      <c r="K759" s="21">
        <f>Source!S653</f>
        <v>2025.36</v>
      </c>
      <c r="L759" s="21"/>
    </row>
    <row r="760" spans="1:22" ht="14.25" x14ac:dyDescent="0.2">
      <c r="A760" s="18"/>
      <c r="B760" s="18"/>
      <c r="C760" s="18"/>
      <c r="D760" s="18" t="s">
        <v>733</v>
      </c>
      <c r="E760" s="19" t="s">
        <v>734</v>
      </c>
      <c r="F760" s="9">
        <f>Source!AT653</f>
        <v>70</v>
      </c>
      <c r="G760" s="21"/>
      <c r="H760" s="20"/>
      <c r="I760" s="9"/>
      <c r="J760" s="9"/>
      <c r="K760" s="21">
        <f>SUM(R758:R759)</f>
        <v>1417.75</v>
      </c>
      <c r="L760" s="21"/>
    </row>
    <row r="761" spans="1:22" ht="14.25" x14ac:dyDescent="0.2">
      <c r="A761" s="18"/>
      <c r="B761" s="18"/>
      <c r="C761" s="18"/>
      <c r="D761" s="18" t="s">
        <v>735</v>
      </c>
      <c r="E761" s="19" t="s">
        <v>734</v>
      </c>
      <c r="F761" s="9">
        <f>Source!AU653</f>
        <v>10</v>
      </c>
      <c r="G761" s="21"/>
      <c r="H761" s="20"/>
      <c r="I761" s="9"/>
      <c r="J761" s="9"/>
      <c r="K761" s="21">
        <f>SUM(T758:T760)</f>
        <v>202.54</v>
      </c>
      <c r="L761" s="21"/>
    </row>
    <row r="762" spans="1:22" ht="14.25" x14ac:dyDescent="0.2">
      <c r="A762" s="18"/>
      <c r="B762" s="18"/>
      <c r="C762" s="18"/>
      <c r="D762" s="18" t="s">
        <v>736</v>
      </c>
      <c r="E762" s="19" t="s">
        <v>737</v>
      </c>
      <c r="F762" s="9">
        <f>Source!AQ653</f>
        <v>0.82</v>
      </c>
      <c r="G762" s="21"/>
      <c r="H762" s="20" t="str">
        <f>Source!DI653</f>
        <v>)*2</v>
      </c>
      <c r="I762" s="9">
        <f>Source!AV653</f>
        <v>1</v>
      </c>
      <c r="J762" s="9"/>
      <c r="K762" s="21"/>
      <c r="L762" s="21">
        <f>Source!U653</f>
        <v>3.28</v>
      </c>
    </row>
    <row r="763" spans="1:22" ht="15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51">
        <f>K759+K760+K761</f>
        <v>3645.6499999999996</v>
      </c>
      <c r="K763" s="51"/>
      <c r="L763" s="24">
        <f>IF(Source!I653&lt;&gt;0, ROUND(J763/Source!I653, 2), 0)</f>
        <v>1822.83</v>
      </c>
      <c r="P763" s="22">
        <f>J763</f>
        <v>3645.6499999999996</v>
      </c>
    </row>
    <row r="764" spans="1:22" ht="28.5" x14ac:dyDescent="0.2">
      <c r="A764" s="18">
        <v>87</v>
      </c>
      <c r="B764" s="18">
        <v>87</v>
      </c>
      <c r="C764" s="18" t="str">
        <f>Source!F654</f>
        <v>1.22-2103-2-1/1</v>
      </c>
      <c r="D764" s="18" t="str">
        <f>Source!G654</f>
        <v>Техническое обслуживание сетевой линии связи</v>
      </c>
      <c r="E764" s="19" t="str">
        <f>Source!H654</f>
        <v>100 м</v>
      </c>
      <c r="F764" s="9">
        <f>Source!I654</f>
        <v>4.71</v>
      </c>
      <c r="G764" s="21"/>
      <c r="H764" s="20"/>
      <c r="I764" s="9"/>
      <c r="J764" s="9"/>
      <c r="K764" s="21"/>
      <c r="L764" s="21"/>
      <c r="Q764">
        <f>ROUND((Source!BZ654/100)*ROUND((Source!AF654*Source!AV654)*Source!I654, 2), 2)</f>
        <v>1637.82</v>
      </c>
      <c r="R764">
        <f>Source!X654</f>
        <v>1637.82</v>
      </c>
      <c r="S764">
        <f>ROUND((Source!CA654/100)*ROUND((Source!AF654*Source!AV654)*Source!I654, 2), 2)</f>
        <v>233.97</v>
      </c>
      <c r="T764">
        <f>Source!Y654</f>
        <v>233.97</v>
      </c>
      <c r="U764">
        <f>ROUND((175/100)*ROUND((Source!AE654*Source!AV654)*Source!I654, 2), 2)</f>
        <v>0</v>
      </c>
      <c r="V764">
        <f>ROUND((108/100)*ROUND(Source!CS654*Source!I654, 2), 2)</f>
        <v>0</v>
      </c>
    </row>
    <row r="765" spans="1:22" ht="38.25" x14ac:dyDescent="0.2">
      <c r="D765" s="25" t="str">
        <f>"Объем: "&amp;Source!I654&amp;"=(1200+"&amp;"500+"&amp;"2000+"&amp;"500+"&amp;"100+"&amp;"50+"&amp;"10+"&amp;"350)*"&amp;"0,1/"&amp;"100"</f>
        <v>Объем: 4,71=(1200+500+2000+500+100+50+10+350)*0,1/100</v>
      </c>
    </row>
    <row r="766" spans="1:22" ht="14.25" x14ac:dyDescent="0.2">
      <c r="A766" s="18"/>
      <c r="B766" s="18"/>
      <c r="C766" s="18"/>
      <c r="D766" s="18" t="s">
        <v>731</v>
      </c>
      <c r="E766" s="19"/>
      <c r="F766" s="9"/>
      <c r="G766" s="21">
        <f>Source!AO654</f>
        <v>496.76</v>
      </c>
      <c r="H766" s="20" t="str">
        <f>Source!DG654</f>
        <v/>
      </c>
      <c r="I766" s="9">
        <f>Source!AV654</f>
        <v>1</v>
      </c>
      <c r="J766" s="9">
        <f>IF(Source!BA654&lt;&gt; 0, Source!BA654, 1)</f>
        <v>1</v>
      </c>
      <c r="K766" s="21">
        <f>Source!S654</f>
        <v>2339.7399999999998</v>
      </c>
      <c r="L766" s="21"/>
    </row>
    <row r="767" spans="1:22" ht="14.25" x14ac:dyDescent="0.2">
      <c r="A767" s="18"/>
      <c r="B767" s="18"/>
      <c r="C767" s="18"/>
      <c r="D767" s="18" t="s">
        <v>733</v>
      </c>
      <c r="E767" s="19" t="s">
        <v>734</v>
      </c>
      <c r="F767" s="9">
        <f>Source!AT654</f>
        <v>70</v>
      </c>
      <c r="G767" s="21"/>
      <c r="H767" s="20"/>
      <c r="I767" s="9"/>
      <c r="J767" s="9"/>
      <c r="K767" s="21">
        <f>SUM(R764:R766)</f>
        <v>1637.82</v>
      </c>
      <c r="L767" s="21"/>
    </row>
    <row r="768" spans="1:22" ht="14.25" x14ac:dyDescent="0.2">
      <c r="A768" s="18"/>
      <c r="B768" s="18"/>
      <c r="C768" s="18"/>
      <c r="D768" s="18" t="s">
        <v>735</v>
      </c>
      <c r="E768" s="19" t="s">
        <v>734</v>
      </c>
      <c r="F768" s="9">
        <f>Source!AU654</f>
        <v>10</v>
      </c>
      <c r="G768" s="21"/>
      <c r="H768" s="20"/>
      <c r="I768" s="9"/>
      <c r="J768" s="9"/>
      <c r="K768" s="21">
        <f>SUM(T764:T767)</f>
        <v>233.97</v>
      </c>
      <c r="L768" s="21"/>
    </row>
    <row r="769" spans="1:16" ht="14.25" x14ac:dyDescent="0.2">
      <c r="A769" s="18"/>
      <c r="B769" s="18"/>
      <c r="C769" s="18"/>
      <c r="D769" s="18" t="s">
        <v>736</v>
      </c>
      <c r="E769" s="19" t="s">
        <v>737</v>
      </c>
      <c r="F769" s="9">
        <f>Source!AQ654</f>
        <v>0.7</v>
      </c>
      <c r="G769" s="21"/>
      <c r="H769" s="20" t="str">
        <f>Source!DI654</f>
        <v/>
      </c>
      <c r="I769" s="9">
        <f>Source!AV654</f>
        <v>1</v>
      </c>
      <c r="J769" s="9"/>
      <c r="K769" s="21"/>
      <c r="L769" s="21">
        <f>Source!U654</f>
        <v>3.2969999999999997</v>
      </c>
    </row>
    <row r="770" spans="1:16" ht="15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51">
        <f>K766+K767+K768</f>
        <v>4211.53</v>
      </c>
      <c r="K770" s="51"/>
      <c r="L770" s="24">
        <f>IF(Source!I654&lt;&gt;0, ROUND(J770/Source!I654, 2), 0)</f>
        <v>894.17</v>
      </c>
      <c r="P770" s="22">
        <f>J770</f>
        <v>4211.53</v>
      </c>
    </row>
    <row r="772" spans="1:16" ht="15" x14ac:dyDescent="0.25">
      <c r="A772" s="54" t="str">
        <f>CONCATENATE("Итого по подразделу: ",IF(Source!G656&lt;&gt;"Новый подраздел", Source!G656, ""))</f>
        <v>Итого по подразделу: 5.2  Приборы и средства автоматизации</v>
      </c>
      <c r="B772" s="54"/>
      <c r="C772" s="54"/>
      <c r="D772" s="54"/>
      <c r="E772" s="54"/>
      <c r="F772" s="54"/>
      <c r="G772" s="54"/>
      <c r="H772" s="54"/>
      <c r="I772" s="54"/>
      <c r="J772" s="53">
        <f>SUM(P692:P771)</f>
        <v>114368.64999999998</v>
      </c>
      <c r="K772" s="71"/>
      <c r="L772" s="26"/>
    </row>
    <row r="775" spans="1:16" ht="15" x14ac:dyDescent="0.25">
      <c r="A775" s="54" t="str">
        <f>CONCATENATE("Итого по разделу: ",IF(Source!G686&lt;&gt;"Новый раздел", Source!G686, ""))</f>
        <v>Итого по разделу: Раздел: 5. Автоматизация комплексная</v>
      </c>
      <c r="B775" s="54"/>
      <c r="C775" s="54"/>
      <c r="D775" s="54"/>
      <c r="E775" s="54"/>
      <c r="F775" s="54"/>
      <c r="G775" s="54"/>
      <c r="H775" s="54"/>
      <c r="I775" s="54"/>
      <c r="J775" s="53">
        <f>SUM(P652:P774)</f>
        <v>142029.83999999997</v>
      </c>
      <c r="K775" s="71"/>
      <c r="L775" s="26"/>
    </row>
    <row r="778" spans="1:16" ht="15" x14ac:dyDescent="0.25">
      <c r="A778" s="54" t="str">
        <f>CONCATENATE("Итого по локальной смете: ",IF(Source!G716&lt;&gt;"Новая локальная смета", Source!G716, ""))</f>
        <v>Итого по локальной смете: 1.1 Киносклад</v>
      </c>
      <c r="B778" s="54"/>
      <c r="C778" s="54"/>
      <c r="D778" s="54"/>
      <c r="E778" s="54"/>
      <c r="F778" s="54"/>
      <c r="G778" s="54"/>
      <c r="H778" s="54"/>
      <c r="I778" s="54"/>
      <c r="J778" s="53">
        <f>SUM(P38:P777)</f>
        <v>1250164.73</v>
      </c>
      <c r="K778" s="71"/>
      <c r="L778" s="26"/>
    </row>
    <row r="781" spans="1:16" ht="15" x14ac:dyDescent="0.25">
      <c r="A781" s="54" t="str">
        <f>CONCATENATE("Итого по смете: ",IF(Source!G746&lt;&gt;"Новый объект", Source!G746, ""))</f>
        <v>Итого по смете: СН_1.1_на 4 месяца (10%)</v>
      </c>
      <c r="B781" s="54"/>
      <c r="C781" s="54"/>
      <c r="D781" s="54"/>
      <c r="E781" s="54"/>
      <c r="F781" s="54"/>
      <c r="G781" s="54"/>
      <c r="H781" s="54"/>
      <c r="I781" s="54"/>
      <c r="J781" s="53">
        <f>SUM(P1:P780)</f>
        <v>1250164.73</v>
      </c>
      <c r="K781" s="71"/>
      <c r="L781" s="26"/>
    </row>
    <row r="782" spans="1:16" ht="14.25" x14ac:dyDescent="0.2">
      <c r="D782" s="38" t="str">
        <f>Source!H775</f>
        <v>Итого</v>
      </c>
      <c r="E782" s="38"/>
      <c r="F782" s="38"/>
      <c r="G782" s="38"/>
      <c r="H782" s="38"/>
      <c r="I782" s="38"/>
      <c r="J782" s="45">
        <f>IF(Source!F775=0, "", Source!F775)</f>
        <v>1250164.73</v>
      </c>
      <c r="K782" s="45"/>
    </row>
    <row r="783" spans="1:16" ht="14.25" x14ac:dyDescent="0.2">
      <c r="D783" s="38" t="str">
        <f>Source!H776</f>
        <v>НДС, 22%</v>
      </c>
      <c r="E783" s="38"/>
      <c r="F783" s="38"/>
      <c r="G783" s="38"/>
      <c r="H783" s="38"/>
      <c r="I783" s="38"/>
      <c r="J783" s="45">
        <f>IF(Source!F776=0, "", Source!F776)</f>
        <v>275036.24</v>
      </c>
      <c r="K783" s="45"/>
    </row>
    <row r="784" spans="1:16" ht="14.25" x14ac:dyDescent="0.2">
      <c r="D784" s="38" t="str">
        <f>Source!H777</f>
        <v>Всего с НДС</v>
      </c>
      <c r="E784" s="38"/>
      <c r="F784" s="38"/>
      <c r="G784" s="38"/>
      <c r="H784" s="38"/>
      <c r="I784" s="38"/>
      <c r="J784" s="45">
        <f>IF(Source!F777=0, "", Source!F777)</f>
        <v>1525200.97</v>
      </c>
      <c r="K784" s="45"/>
    </row>
    <row r="787" spans="1:12" ht="14.25" x14ac:dyDescent="0.2">
      <c r="A787" s="10"/>
      <c r="B787" s="55" t="s">
        <v>782</v>
      </c>
      <c r="C787" s="55"/>
      <c r="D787" s="29" t="str">
        <f>IF(Source!AM12&lt;&gt;"", Source!AM12," ")</f>
        <v xml:space="preserve"> </v>
      </c>
      <c r="E787" s="29"/>
      <c r="F787" s="29"/>
      <c r="G787" s="29"/>
      <c r="H787" s="29"/>
      <c r="I787" s="10" t="str">
        <f>IF(Source!AL12&lt;&gt;"", Source!AL12," ")</f>
        <v xml:space="preserve"> </v>
      </c>
      <c r="J787" s="10"/>
      <c r="K787" s="10"/>
      <c r="L787" s="10"/>
    </row>
    <row r="788" spans="1:12" ht="14.25" x14ac:dyDescent="0.2">
      <c r="A788" s="10"/>
      <c r="B788" s="10"/>
      <c r="C788" s="10"/>
      <c r="D788" s="56" t="s">
        <v>748</v>
      </c>
      <c r="E788" s="56"/>
      <c r="F788" s="56"/>
      <c r="G788" s="56"/>
      <c r="H788" s="56"/>
      <c r="I788" s="10"/>
      <c r="J788" s="10"/>
      <c r="K788" s="10"/>
      <c r="L788" s="10"/>
    </row>
    <row r="789" spans="1:12" ht="14.25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</row>
    <row r="790" spans="1:12" ht="14.25" x14ac:dyDescent="0.2">
      <c r="A790" s="10"/>
      <c r="B790" s="55" t="s">
        <v>783</v>
      </c>
      <c r="C790" s="55"/>
      <c r="D790" s="29" t="str">
        <f>IF(Source!AI12&lt;&gt;"", Source!AI12," ")</f>
        <v xml:space="preserve"> </v>
      </c>
      <c r="E790" s="29"/>
      <c r="F790" s="29"/>
      <c r="G790" s="29"/>
      <c r="H790" s="29"/>
      <c r="I790" s="10" t="str">
        <f>IF(Source!AH12&lt;&gt;"", Source!AH12," ")</f>
        <v xml:space="preserve"> </v>
      </c>
      <c r="J790" s="10"/>
      <c r="K790" s="10"/>
      <c r="L790" s="10"/>
    </row>
    <row r="791" spans="1:12" ht="14.25" x14ac:dyDescent="0.2">
      <c r="A791" s="10"/>
      <c r="B791" s="10"/>
      <c r="C791" s="10"/>
      <c r="D791" s="56" t="s">
        <v>748</v>
      </c>
      <c r="E791" s="56"/>
      <c r="F791" s="56"/>
      <c r="G791" s="56"/>
      <c r="H791" s="56"/>
      <c r="I791" s="10"/>
      <c r="J791" s="10"/>
      <c r="K791" s="10"/>
      <c r="L791" s="10"/>
    </row>
  </sheetData>
  <mergeCells count="196">
    <mergeCell ref="B787:C787"/>
    <mergeCell ref="D788:H788"/>
    <mergeCell ref="B790:C790"/>
    <mergeCell ref="D791:H791"/>
    <mergeCell ref="D782:I782"/>
    <mergeCell ref="J782:K782"/>
    <mergeCell ref="D783:I783"/>
    <mergeCell ref="J783:K783"/>
    <mergeCell ref="D784:I784"/>
    <mergeCell ref="J784:K784"/>
    <mergeCell ref="A772:I772"/>
    <mergeCell ref="J775:K775"/>
    <mergeCell ref="A775:I775"/>
    <mergeCell ref="J778:K778"/>
    <mergeCell ref="A778:I778"/>
    <mergeCell ref="J781:K781"/>
    <mergeCell ref="A781:I781"/>
    <mergeCell ref="J744:K744"/>
    <mergeCell ref="J751:K751"/>
    <mergeCell ref="J757:K757"/>
    <mergeCell ref="J763:K763"/>
    <mergeCell ref="J770:K770"/>
    <mergeCell ref="J772:K772"/>
    <mergeCell ref="J698:K698"/>
    <mergeCell ref="J706:K706"/>
    <mergeCell ref="J713:K713"/>
    <mergeCell ref="J720:K720"/>
    <mergeCell ref="J727:K727"/>
    <mergeCell ref="J734:K734"/>
    <mergeCell ref="J673:K673"/>
    <mergeCell ref="J680:K680"/>
    <mergeCell ref="J687:K687"/>
    <mergeCell ref="J689:K689"/>
    <mergeCell ref="A689:I689"/>
    <mergeCell ref="A692:L692"/>
    <mergeCell ref="J649:K649"/>
    <mergeCell ref="A649:I649"/>
    <mergeCell ref="A652:L652"/>
    <mergeCell ref="A654:L654"/>
    <mergeCell ref="J660:K660"/>
    <mergeCell ref="J666:K666"/>
    <mergeCell ref="A615:L615"/>
    <mergeCell ref="J622:K622"/>
    <mergeCell ref="J630:K630"/>
    <mergeCell ref="J637:K637"/>
    <mergeCell ref="J644:K644"/>
    <mergeCell ref="J646:K646"/>
    <mergeCell ref="A646:I646"/>
    <mergeCell ref="J599:K599"/>
    <mergeCell ref="A599:I599"/>
    <mergeCell ref="A602:L602"/>
    <mergeCell ref="J610:K610"/>
    <mergeCell ref="J612:K612"/>
    <mergeCell ref="A612:I612"/>
    <mergeCell ref="J568:K568"/>
    <mergeCell ref="C570:K570"/>
    <mergeCell ref="J576:K576"/>
    <mergeCell ref="J582:K582"/>
    <mergeCell ref="J589:K589"/>
    <mergeCell ref="J597:K597"/>
    <mergeCell ref="J520:K520"/>
    <mergeCell ref="J528:K528"/>
    <mergeCell ref="J536:K536"/>
    <mergeCell ref="J544:K544"/>
    <mergeCell ref="J552:K552"/>
    <mergeCell ref="J560:K560"/>
    <mergeCell ref="J491:K491"/>
    <mergeCell ref="J499:K499"/>
    <mergeCell ref="J507:K507"/>
    <mergeCell ref="J509:K509"/>
    <mergeCell ref="A509:I509"/>
    <mergeCell ref="A512:L512"/>
    <mergeCell ref="A462:L462"/>
    <mergeCell ref="J464:K464"/>
    <mergeCell ref="A464:I464"/>
    <mergeCell ref="A467:L467"/>
    <mergeCell ref="J475:K475"/>
    <mergeCell ref="J483:K483"/>
    <mergeCell ref="J436:K436"/>
    <mergeCell ref="J442:K442"/>
    <mergeCell ref="J449:K449"/>
    <mergeCell ref="J457:K457"/>
    <mergeCell ref="J459:K459"/>
    <mergeCell ref="A459:I459"/>
    <mergeCell ref="A398:L398"/>
    <mergeCell ref="A400:L400"/>
    <mergeCell ref="J407:K407"/>
    <mergeCell ref="J414:K414"/>
    <mergeCell ref="J421:K421"/>
    <mergeCell ref="J429:K429"/>
    <mergeCell ref="J369:K369"/>
    <mergeCell ref="J376:K376"/>
    <mergeCell ref="J383:K383"/>
    <mergeCell ref="J393:K393"/>
    <mergeCell ref="J395:K395"/>
    <mergeCell ref="A395:I395"/>
    <mergeCell ref="J343:K343"/>
    <mergeCell ref="A343:I343"/>
    <mergeCell ref="J346:K346"/>
    <mergeCell ref="A346:I346"/>
    <mergeCell ref="A349:L349"/>
    <mergeCell ref="J359:K359"/>
    <mergeCell ref="J303:K303"/>
    <mergeCell ref="J310:K310"/>
    <mergeCell ref="J317:K317"/>
    <mergeCell ref="J325:K325"/>
    <mergeCell ref="J334:K334"/>
    <mergeCell ref="J341:K341"/>
    <mergeCell ref="C256:K256"/>
    <mergeCell ref="J265:K265"/>
    <mergeCell ref="J271:K271"/>
    <mergeCell ref="J279:K279"/>
    <mergeCell ref="J286:K286"/>
    <mergeCell ref="J293:K293"/>
    <mergeCell ref="J216:K216"/>
    <mergeCell ref="J223:K223"/>
    <mergeCell ref="J230:K230"/>
    <mergeCell ref="J238:K238"/>
    <mergeCell ref="J245:K245"/>
    <mergeCell ref="J254:K254"/>
    <mergeCell ref="C169:K169"/>
    <mergeCell ref="J176:K176"/>
    <mergeCell ref="J184:K184"/>
    <mergeCell ref="J193:K193"/>
    <mergeCell ref="J199:K199"/>
    <mergeCell ref="J206:K206"/>
    <mergeCell ref="J129:K129"/>
    <mergeCell ref="J136:K136"/>
    <mergeCell ref="J144:K144"/>
    <mergeCell ref="J151:K151"/>
    <mergeCell ref="J160:K160"/>
    <mergeCell ref="J167:K167"/>
    <mergeCell ref="J92:K92"/>
    <mergeCell ref="J99:K99"/>
    <mergeCell ref="J105:K105"/>
    <mergeCell ref="J112:K112"/>
    <mergeCell ref="J120:K120"/>
    <mergeCell ref="C122:K122"/>
    <mergeCell ref="J72:K72"/>
    <mergeCell ref="J74:K74"/>
    <mergeCell ref="A74:I74"/>
    <mergeCell ref="A77:L77"/>
    <mergeCell ref="C79:K79"/>
    <mergeCell ref="J85:K85"/>
    <mergeCell ref="J47:K47"/>
    <mergeCell ref="J54:K54"/>
    <mergeCell ref="J56:K56"/>
    <mergeCell ref="A56:I56"/>
    <mergeCell ref="A59:L59"/>
    <mergeCell ref="A61:L6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789"/>
  <sheetViews>
    <sheetView topLeftCell="A735" workbookViewId="0">
      <selection activeCell="F776" sqref="F77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785</v>
      </c>
      <c r="C12" s="1">
        <v>0</v>
      </c>
      <c r="D12" s="1">
        <f>ROW(A746)</f>
        <v>746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B746</f>
        <v>785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СН_1.1_на 4 месяца (10%)</v>
      </c>
      <c r="H18" s="2"/>
      <c r="I18" s="2"/>
      <c r="J18" s="2"/>
      <c r="K18" s="2"/>
      <c r="L18" s="2"/>
      <c r="M18" s="2"/>
      <c r="N18" s="2"/>
      <c r="O18" s="2">
        <f t="shared" ref="O18:AT18" si="1">O746</f>
        <v>699970.64</v>
      </c>
      <c r="P18" s="2">
        <f t="shared" si="1"/>
        <v>11195.82</v>
      </c>
      <c r="Q18" s="2">
        <f t="shared" si="1"/>
        <v>6897.67</v>
      </c>
      <c r="R18" s="2">
        <f t="shared" si="1"/>
        <v>4344.75</v>
      </c>
      <c r="S18" s="2">
        <f t="shared" si="1"/>
        <v>681877.15</v>
      </c>
      <c r="T18" s="2">
        <f t="shared" si="1"/>
        <v>0</v>
      </c>
      <c r="U18" s="2">
        <f t="shared" si="1"/>
        <v>1098.8610800000001</v>
      </c>
      <c r="V18" s="2">
        <f t="shared" si="1"/>
        <v>0</v>
      </c>
      <c r="W18" s="2">
        <f t="shared" si="1"/>
        <v>0</v>
      </c>
      <c r="X18" s="2">
        <f t="shared" si="1"/>
        <v>477314.02</v>
      </c>
      <c r="Y18" s="2">
        <f t="shared" si="1"/>
        <v>68187.740000000005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1250164.73</v>
      </c>
      <c r="AS18" s="2">
        <f t="shared" si="1"/>
        <v>0</v>
      </c>
      <c r="AT18" s="2">
        <f t="shared" si="1"/>
        <v>0</v>
      </c>
      <c r="AU18" s="2">
        <f t="shared" ref="AU18:BZ18" si="2">AU746</f>
        <v>1250164.73</v>
      </c>
      <c r="AV18" s="2">
        <f t="shared" si="2"/>
        <v>11195.82</v>
      </c>
      <c r="AW18" s="2">
        <f t="shared" si="2"/>
        <v>11195.82</v>
      </c>
      <c r="AX18" s="2">
        <f t="shared" si="2"/>
        <v>0</v>
      </c>
      <c r="AY18" s="2">
        <f t="shared" si="2"/>
        <v>11195.82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CA746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DG746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EM746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FS746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ROW(A716)</f>
        <v>716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-1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B716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1.1 Киносклад</v>
      </c>
      <c r="H22" s="2"/>
      <c r="I22" s="2"/>
      <c r="J22" s="2"/>
      <c r="K22" s="2"/>
      <c r="L22" s="2"/>
      <c r="M22" s="2"/>
      <c r="N22" s="2"/>
      <c r="O22" s="2">
        <f t="shared" ref="O22:AT22" si="8">O716</f>
        <v>699970.64</v>
      </c>
      <c r="P22" s="2">
        <f t="shared" si="8"/>
        <v>11195.82</v>
      </c>
      <c r="Q22" s="2">
        <f t="shared" si="8"/>
        <v>6897.67</v>
      </c>
      <c r="R22" s="2">
        <f t="shared" si="8"/>
        <v>4344.75</v>
      </c>
      <c r="S22" s="2">
        <f t="shared" si="8"/>
        <v>681877.15</v>
      </c>
      <c r="T22" s="2">
        <f t="shared" si="8"/>
        <v>0</v>
      </c>
      <c r="U22" s="2">
        <f t="shared" si="8"/>
        <v>1098.8610800000001</v>
      </c>
      <c r="V22" s="2">
        <f t="shared" si="8"/>
        <v>0</v>
      </c>
      <c r="W22" s="2">
        <f t="shared" si="8"/>
        <v>0</v>
      </c>
      <c r="X22" s="2">
        <f t="shared" si="8"/>
        <v>477314.02</v>
      </c>
      <c r="Y22" s="2">
        <f t="shared" si="8"/>
        <v>68187.740000000005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1250164.73</v>
      </c>
      <c r="AS22" s="2">
        <f t="shared" si="8"/>
        <v>0</v>
      </c>
      <c r="AT22" s="2">
        <f t="shared" si="8"/>
        <v>0</v>
      </c>
      <c r="AU22" s="2">
        <f t="shared" ref="AU22:BZ22" si="9">AU716</f>
        <v>1250164.73</v>
      </c>
      <c r="AV22" s="2">
        <f t="shared" si="9"/>
        <v>11195.82</v>
      </c>
      <c r="AW22" s="2">
        <f t="shared" si="9"/>
        <v>11195.82</v>
      </c>
      <c r="AX22" s="2">
        <f t="shared" si="9"/>
        <v>0</v>
      </c>
      <c r="AY22" s="2">
        <f t="shared" si="9"/>
        <v>11195.82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CA716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DG716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EM716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FS716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1. Внутреннее водоснабжение и водоотведение.</v>
      </c>
      <c r="H26" s="2"/>
      <c r="I26" s="2"/>
      <c r="J26" s="2"/>
      <c r="K26" s="2"/>
      <c r="L26" s="2"/>
      <c r="M26" s="2"/>
      <c r="N26" s="2"/>
      <c r="O26" s="2">
        <f t="shared" ref="O26:AT26" si="15">O36</f>
        <v>583.39</v>
      </c>
      <c r="P26" s="2">
        <f t="shared" si="15"/>
        <v>1.55</v>
      </c>
      <c r="Q26" s="2">
        <f t="shared" si="15"/>
        <v>0</v>
      </c>
      <c r="R26" s="2">
        <f t="shared" si="15"/>
        <v>0</v>
      </c>
      <c r="S26" s="2">
        <f t="shared" si="15"/>
        <v>581.84</v>
      </c>
      <c r="T26" s="2">
        <f t="shared" si="15"/>
        <v>0</v>
      </c>
      <c r="U26" s="2">
        <f t="shared" si="15"/>
        <v>1.0050000000000001</v>
      </c>
      <c r="V26" s="2">
        <f t="shared" si="15"/>
        <v>0</v>
      </c>
      <c r="W26" s="2">
        <f t="shared" si="15"/>
        <v>0</v>
      </c>
      <c r="X26" s="2">
        <f t="shared" si="15"/>
        <v>407.29</v>
      </c>
      <c r="Y26" s="2">
        <f t="shared" si="15"/>
        <v>58.18</v>
      </c>
      <c r="Z26" s="2">
        <f t="shared" si="15"/>
        <v>0</v>
      </c>
      <c r="AA26" s="2">
        <f t="shared" si="15"/>
        <v>0</v>
      </c>
      <c r="AB26" s="2">
        <f t="shared" si="15"/>
        <v>583.39</v>
      </c>
      <c r="AC26" s="2">
        <f t="shared" si="15"/>
        <v>1.55</v>
      </c>
      <c r="AD26" s="2">
        <f t="shared" si="15"/>
        <v>0</v>
      </c>
      <c r="AE26" s="2">
        <f t="shared" si="15"/>
        <v>0</v>
      </c>
      <c r="AF26" s="2">
        <f t="shared" si="15"/>
        <v>581.84</v>
      </c>
      <c r="AG26" s="2">
        <f t="shared" si="15"/>
        <v>0</v>
      </c>
      <c r="AH26" s="2">
        <f t="shared" si="15"/>
        <v>1.0050000000000001</v>
      </c>
      <c r="AI26" s="2">
        <f t="shared" si="15"/>
        <v>0</v>
      </c>
      <c r="AJ26" s="2">
        <f t="shared" si="15"/>
        <v>0</v>
      </c>
      <c r="AK26" s="2">
        <f t="shared" si="15"/>
        <v>407.29</v>
      </c>
      <c r="AL26" s="2">
        <f t="shared" si="15"/>
        <v>58.18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1048.8599999999999</v>
      </c>
      <c r="AS26" s="2">
        <f t="shared" si="15"/>
        <v>0</v>
      </c>
      <c r="AT26" s="2">
        <f t="shared" si="15"/>
        <v>0</v>
      </c>
      <c r="AU26" s="2">
        <f t="shared" ref="AU26:BZ26" si="16">AU36</f>
        <v>1048.8599999999999</v>
      </c>
      <c r="AV26" s="2">
        <f t="shared" si="16"/>
        <v>1.55</v>
      </c>
      <c r="AW26" s="2">
        <f t="shared" si="16"/>
        <v>1.55</v>
      </c>
      <c r="AX26" s="2">
        <f t="shared" si="16"/>
        <v>0</v>
      </c>
      <c r="AY26" s="2">
        <f t="shared" si="16"/>
        <v>1.55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CA36</f>
        <v>1048.8599999999999</v>
      </c>
      <c r="CB26" s="2">
        <f t="shared" si="17"/>
        <v>0</v>
      </c>
      <c r="CC26" s="2">
        <f t="shared" si="17"/>
        <v>0</v>
      </c>
      <c r="CD26" s="2">
        <f t="shared" si="17"/>
        <v>1048.8599999999999</v>
      </c>
      <c r="CE26" s="2">
        <f t="shared" si="17"/>
        <v>1.55</v>
      </c>
      <c r="CF26" s="2">
        <f t="shared" si="17"/>
        <v>1.55</v>
      </c>
      <c r="CG26" s="2">
        <f t="shared" si="17"/>
        <v>0</v>
      </c>
      <c r="CH26" s="2">
        <f t="shared" si="17"/>
        <v>1.55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ROW(EtalonRes!A4)</f>
        <v>4</v>
      </c>
      <c r="E28" t="s">
        <v>3</v>
      </c>
      <c r="F28" t="s">
        <v>15</v>
      </c>
      <c r="G28" t="s">
        <v>16</v>
      </c>
      <c r="H28" t="s">
        <v>17</v>
      </c>
      <c r="I28">
        <f>ROUND(225*0.1/100,9)</f>
        <v>0.22500000000000001</v>
      </c>
      <c r="J28">
        <v>0</v>
      </c>
      <c r="K28">
        <f>ROUND(225*0.1/100,9)</f>
        <v>0.22500000000000001</v>
      </c>
      <c r="O28">
        <f t="shared" ref="O28:O34" si="21">ROUND(CP28,2)</f>
        <v>3804.17</v>
      </c>
      <c r="P28">
        <f t="shared" ref="P28:P34" si="22">ROUND(CQ28*I28,2)</f>
        <v>613.85</v>
      </c>
      <c r="Q28">
        <f t="shared" ref="Q28:Q34" si="23">ROUND(CR28*I28,2)</f>
        <v>0</v>
      </c>
      <c r="R28">
        <f t="shared" ref="R28:R34" si="24">ROUND(CS28*I28,2)</f>
        <v>0</v>
      </c>
      <c r="S28">
        <f t="shared" ref="S28:S34" si="25">ROUND(CT28*I28,2)</f>
        <v>3190.32</v>
      </c>
      <c r="T28">
        <f t="shared" ref="T28:T34" si="26">ROUND(CU28*I28,2)</f>
        <v>0</v>
      </c>
      <c r="U28">
        <f t="shared" ref="U28:U34" si="27">CV28*I28</f>
        <v>6.6464999999999996</v>
      </c>
      <c r="V28">
        <f t="shared" ref="V28:V34" si="28">CW28*I28</f>
        <v>0</v>
      </c>
      <c r="W28">
        <f t="shared" ref="W28:W34" si="29">ROUND(CX28*I28,2)</f>
        <v>0</v>
      </c>
      <c r="X28">
        <f t="shared" ref="X28:Y34" si="30">ROUND(CY28,2)</f>
        <v>2233.2199999999998</v>
      </c>
      <c r="Y28">
        <f t="shared" si="30"/>
        <v>319.02999999999997</v>
      </c>
      <c r="AA28">
        <v>-1</v>
      </c>
      <c r="AB28">
        <f t="shared" ref="AB28:AB34" si="31">ROUND((AC28+AD28+AF28),6)</f>
        <v>16907.419999999998</v>
      </c>
      <c r="AC28">
        <f>ROUND((ES28),6)</f>
        <v>2728.22</v>
      </c>
      <c r="AD28">
        <f>ROUND((((ET28)-(EU28))+AE28),6)</f>
        <v>0</v>
      </c>
      <c r="AE28">
        <f>ROUND((EU28),6)</f>
        <v>0</v>
      </c>
      <c r="AF28">
        <f>ROUND((EV28),6)</f>
        <v>14179.2</v>
      </c>
      <c r="AG28">
        <f t="shared" ref="AG28:AG34" si="32">ROUND((AP28),6)</f>
        <v>0</v>
      </c>
      <c r="AH28">
        <f>(EW28)</f>
        <v>29.54</v>
      </c>
      <c r="AI28">
        <f>(EX28)</f>
        <v>0</v>
      </c>
      <c r="AJ28">
        <f t="shared" ref="AJ28:AJ34" si="33">(AS28)</f>
        <v>0</v>
      </c>
      <c r="AK28">
        <v>16907.419999999998</v>
      </c>
      <c r="AL28">
        <v>2728.22</v>
      </c>
      <c r="AM28">
        <v>0</v>
      </c>
      <c r="AN28">
        <v>0</v>
      </c>
      <c r="AO28">
        <v>14179.2</v>
      </c>
      <c r="AP28">
        <v>0</v>
      </c>
      <c r="AQ28">
        <v>29.54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18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4" si="34">(P28+Q28+S28)</f>
        <v>3804.17</v>
      </c>
      <c r="CQ28">
        <f t="shared" ref="CQ28:CQ34" si="35">(AC28*BC28*AW28)</f>
        <v>2728.22</v>
      </c>
      <c r="CR28">
        <f>((((ET28)*BB28-(EU28)*BS28)+AE28*BS28)*AV28)</f>
        <v>0</v>
      </c>
      <c r="CS28">
        <f t="shared" ref="CS28:CS34" si="36">(AE28*BS28*AV28)</f>
        <v>0</v>
      </c>
      <c r="CT28">
        <f t="shared" ref="CT28:CT34" si="37">(AF28*BA28*AV28)</f>
        <v>14179.2</v>
      </c>
      <c r="CU28">
        <f t="shared" ref="CU28:CU34" si="38">AG28</f>
        <v>0</v>
      </c>
      <c r="CV28">
        <f t="shared" ref="CV28:CV34" si="39">(AH28*AV28)</f>
        <v>29.54</v>
      </c>
      <c r="CW28">
        <f t="shared" ref="CW28:CX34" si="40">AI28</f>
        <v>0</v>
      </c>
      <c r="CX28">
        <f t="shared" si="40"/>
        <v>0</v>
      </c>
      <c r="CY28">
        <f t="shared" ref="CY28:CY34" si="41">((S28*BZ28)/100)</f>
        <v>2233.2240000000002</v>
      </c>
      <c r="CZ28">
        <f t="shared" ref="CZ28:CZ34" si="42">((S28*CA28)/100)</f>
        <v>319.03199999999998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17</v>
      </c>
      <c r="DW28" t="s">
        <v>17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19</v>
      </c>
      <c r="EH28">
        <v>0</v>
      </c>
      <c r="EI28" t="s">
        <v>3</v>
      </c>
      <c r="EJ28">
        <v>4</v>
      </c>
      <c r="EK28">
        <v>0</v>
      </c>
      <c r="EL28" t="s">
        <v>20</v>
      </c>
      <c r="EM28" t="s">
        <v>21</v>
      </c>
      <c r="EO28" t="s">
        <v>3</v>
      </c>
      <c r="EQ28">
        <v>1311744</v>
      </c>
      <c r="ER28">
        <v>16907.419999999998</v>
      </c>
      <c r="ES28">
        <v>2728.22</v>
      </c>
      <c r="ET28">
        <v>0</v>
      </c>
      <c r="EU28">
        <v>0</v>
      </c>
      <c r="EV28">
        <v>14179.2</v>
      </c>
      <c r="EW28">
        <v>29.54</v>
      </c>
      <c r="EX28">
        <v>0</v>
      </c>
      <c r="EY28">
        <v>0</v>
      </c>
      <c r="FQ28">
        <v>0</v>
      </c>
      <c r="FR28">
        <f t="shared" ref="FR28:FR34" si="43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-317825441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4" si="44">ROUND(IF(AND(BH28=3,BI28=3,FS28&lt;&gt;0),P28,0),2)</f>
        <v>0</v>
      </c>
      <c r="GM28">
        <f t="shared" ref="GM28:GM34" si="45">ROUND(O28+X28+Y28+GK28,2)+GX28</f>
        <v>6356.42</v>
      </c>
      <c r="GN28">
        <f t="shared" ref="GN28:GN34" si="46">IF(OR(BI28=0,BI28=1),GM28-GX28,0)</f>
        <v>0</v>
      </c>
      <c r="GO28">
        <f t="shared" ref="GO28:GO34" si="47">IF(BI28=2,GM28-GX28,0)</f>
        <v>0</v>
      </c>
      <c r="GP28">
        <f t="shared" ref="GP28:GP34" si="48">IF(BI28=4,GM28-GX28,0)</f>
        <v>6356.42</v>
      </c>
      <c r="GR28">
        <v>0</v>
      </c>
      <c r="GS28">
        <v>3</v>
      </c>
      <c r="GT28">
        <v>0</v>
      </c>
      <c r="GU28" t="s">
        <v>3</v>
      </c>
      <c r="GV28">
        <f t="shared" ref="GV28:GV34" si="49">ROUND((GT28),6)</f>
        <v>0</v>
      </c>
      <c r="GW28">
        <v>1</v>
      </c>
      <c r="GX28">
        <f t="shared" ref="GX28:GX34" si="50">ROUND(HC28*I28,2)</f>
        <v>0</v>
      </c>
      <c r="HA28">
        <v>0</v>
      </c>
      <c r="HB28">
        <v>0</v>
      </c>
      <c r="HC28">
        <f t="shared" ref="HC28:HC34" si="51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ROW(EtalonRes!A5)</f>
        <v>5</v>
      </c>
      <c r="E29" t="s">
        <v>3</v>
      </c>
      <c r="F29" t="s">
        <v>22</v>
      </c>
      <c r="G29" t="s">
        <v>23</v>
      </c>
      <c r="H29" t="s">
        <v>17</v>
      </c>
      <c r="I29">
        <f>ROUND(225*0.25*0.1/100,9)</f>
        <v>5.6250000000000001E-2</v>
      </c>
      <c r="J29">
        <v>0</v>
      </c>
      <c r="K29">
        <f>ROUND(225*0.25*0.1/100,9)</f>
        <v>5.6250000000000001E-2</v>
      </c>
      <c r="O29">
        <f t="shared" si="21"/>
        <v>113.84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113.84</v>
      </c>
      <c r="T29">
        <f t="shared" si="26"/>
        <v>0</v>
      </c>
      <c r="U29">
        <f t="shared" si="27"/>
        <v>0.20250000000000001</v>
      </c>
      <c r="V29">
        <f t="shared" si="28"/>
        <v>0</v>
      </c>
      <c r="W29">
        <f t="shared" si="29"/>
        <v>0</v>
      </c>
      <c r="X29">
        <f t="shared" si="30"/>
        <v>79.69</v>
      </c>
      <c r="Y29">
        <f t="shared" si="30"/>
        <v>11.38</v>
      </c>
      <c r="AA29">
        <v>-1</v>
      </c>
      <c r="AB29">
        <f t="shared" si="31"/>
        <v>2023.8</v>
      </c>
      <c r="AC29">
        <f>ROUND(((ES29*4)),6)</f>
        <v>0</v>
      </c>
      <c r="AD29">
        <f>ROUND(((((ET29*4))-((EU29*4)))+AE29),6)</f>
        <v>0</v>
      </c>
      <c r="AE29">
        <f t="shared" ref="AE29:AF31" si="52">ROUND(((EU29*4)),6)</f>
        <v>0</v>
      </c>
      <c r="AF29">
        <f t="shared" si="52"/>
        <v>2023.8</v>
      </c>
      <c r="AG29">
        <f t="shared" si="32"/>
        <v>0</v>
      </c>
      <c r="AH29">
        <f t="shared" ref="AH29:AI31" si="53">((EW29*4))</f>
        <v>3.6</v>
      </c>
      <c r="AI29">
        <f t="shared" si="53"/>
        <v>0</v>
      </c>
      <c r="AJ29">
        <f t="shared" si="33"/>
        <v>0</v>
      </c>
      <c r="AK29">
        <v>505.95</v>
      </c>
      <c r="AL29">
        <v>0</v>
      </c>
      <c r="AM29">
        <v>0</v>
      </c>
      <c r="AN29">
        <v>0</v>
      </c>
      <c r="AO29">
        <v>505.95</v>
      </c>
      <c r="AP29">
        <v>0</v>
      </c>
      <c r="AQ29">
        <v>0.9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24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113.84</v>
      </c>
      <c r="CQ29">
        <f t="shared" si="35"/>
        <v>0</v>
      </c>
      <c r="CR29">
        <f>(((((ET29*4))*BB29-((EU29*4))*BS29)+AE29*BS29)*AV29)</f>
        <v>0</v>
      </c>
      <c r="CS29">
        <f t="shared" si="36"/>
        <v>0</v>
      </c>
      <c r="CT29">
        <f t="shared" si="37"/>
        <v>2023.8</v>
      </c>
      <c r="CU29">
        <f t="shared" si="38"/>
        <v>0</v>
      </c>
      <c r="CV29">
        <f t="shared" si="39"/>
        <v>3.6</v>
      </c>
      <c r="CW29">
        <f t="shared" si="40"/>
        <v>0</v>
      </c>
      <c r="CX29">
        <f t="shared" si="40"/>
        <v>0</v>
      </c>
      <c r="CY29">
        <f t="shared" si="41"/>
        <v>79.688000000000002</v>
      </c>
      <c r="CZ29">
        <f t="shared" si="42"/>
        <v>11.384</v>
      </c>
      <c r="DC29" t="s">
        <v>3</v>
      </c>
      <c r="DD29" t="s">
        <v>25</v>
      </c>
      <c r="DE29" t="s">
        <v>25</v>
      </c>
      <c r="DF29" t="s">
        <v>25</v>
      </c>
      <c r="DG29" t="s">
        <v>25</v>
      </c>
      <c r="DH29" t="s">
        <v>3</v>
      </c>
      <c r="DI29" t="s">
        <v>25</v>
      </c>
      <c r="DJ29" t="s">
        <v>25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17</v>
      </c>
      <c r="DW29" t="s">
        <v>17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19</v>
      </c>
      <c r="EH29">
        <v>0</v>
      </c>
      <c r="EI29" t="s">
        <v>3</v>
      </c>
      <c r="EJ29">
        <v>4</v>
      </c>
      <c r="EK29">
        <v>0</v>
      </c>
      <c r="EL29" t="s">
        <v>20</v>
      </c>
      <c r="EM29" t="s">
        <v>21</v>
      </c>
      <c r="EO29" t="s">
        <v>3</v>
      </c>
      <c r="EQ29">
        <v>1024</v>
      </c>
      <c r="ER29">
        <v>505.95</v>
      </c>
      <c r="ES29">
        <v>0</v>
      </c>
      <c r="ET29">
        <v>0</v>
      </c>
      <c r="EU29">
        <v>0</v>
      </c>
      <c r="EV29">
        <v>505.95</v>
      </c>
      <c r="EW29">
        <v>0.9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-341239612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4"/>
        <v>0</v>
      </c>
      <c r="GM29">
        <f t="shared" si="45"/>
        <v>204.91</v>
      </c>
      <c r="GN29">
        <f t="shared" si="46"/>
        <v>0</v>
      </c>
      <c r="GO29">
        <f t="shared" si="47"/>
        <v>0</v>
      </c>
      <c r="GP29">
        <f t="shared" si="48"/>
        <v>204.91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ROW(EtalonRes!A6)</f>
        <v>6</v>
      </c>
      <c r="E30" t="s">
        <v>3</v>
      </c>
      <c r="F30" t="s">
        <v>26</v>
      </c>
      <c r="G30" t="s">
        <v>27</v>
      </c>
      <c r="H30" t="s">
        <v>17</v>
      </c>
      <c r="I30">
        <f>ROUND(225*0.75*0.1/100,9)</f>
        <v>0.16875000000000001</v>
      </c>
      <c r="J30">
        <v>0</v>
      </c>
      <c r="K30">
        <f>ROUND(225*0.75*0.1/100,9)</f>
        <v>0.16875000000000001</v>
      </c>
      <c r="O30">
        <f t="shared" si="21"/>
        <v>1001.79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1001.79</v>
      </c>
      <c r="T30">
        <f t="shared" si="26"/>
        <v>0</v>
      </c>
      <c r="U30">
        <f t="shared" si="27"/>
        <v>1.7820000000000003</v>
      </c>
      <c r="V30">
        <f t="shared" si="28"/>
        <v>0</v>
      </c>
      <c r="W30">
        <f t="shared" si="29"/>
        <v>0</v>
      </c>
      <c r="X30">
        <f t="shared" si="30"/>
        <v>701.25</v>
      </c>
      <c r="Y30">
        <f t="shared" si="30"/>
        <v>100.18</v>
      </c>
      <c r="AA30">
        <v>-1</v>
      </c>
      <c r="AB30">
        <f t="shared" si="31"/>
        <v>5936.52</v>
      </c>
      <c r="AC30">
        <f>ROUND(((ES30*4)),6)</f>
        <v>0</v>
      </c>
      <c r="AD30">
        <f>ROUND(((((ET30*4))-((EU30*4)))+AE30),6)</f>
        <v>0</v>
      </c>
      <c r="AE30">
        <f t="shared" si="52"/>
        <v>0</v>
      </c>
      <c r="AF30">
        <f t="shared" si="52"/>
        <v>5936.52</v>
      </c>
      <c r="AG30">
        <f t="shared" si="32"/>
        <v>0</v>
      </c>
      <c r="AH30">
        <f t="shared" si="53"/>
        <v>10.56</v>
      </c>
      <c r="AI30">
        <f t="shared" si="53"/>
        <v>0</v>
      </c>
      <c r="AJ30">
        <f t="shared" si="33"/>
        <v>0</v>
      </c>
      <c r="AK30">
        <v>1484.13</v>
      </c>
      <c r="AL30">
        <v>0</v>
      </c>
      <c r="AM30">
        <v>0</v>
      </c>
      <c r="AN30">
        <v>0</v>
      </c>
      <c r="AO30">
        <v>1484.13</v>
      </c>
      <c r="AP30">
        <v>0</v>
      </c>
      <c r="AQ30">
        <v>2.64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28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1001.79</v>
      </c>
      <c r="CQ30">
        <f t="shared" si="35"/>
        <v>0</v>
      </c>
      <c r="CR30">
        <f>(((((ET30*4))*BB30-((EU30*4))*BS30)+AE30*BS30)*AV30)</f>
        <v>0</v>
      </c>
      <c r="CS30">
        <f t="shared" si="36"/>
        <v>0</v>
      </c>
      <c r="CT30">
        <f t="shared" si="37"/>
        <v>5936.52</v>
      </c>
      <c r="CU30">
        <f t="shared" si="38"/>
        <v>0</v>
      </c>
      <c r="CV30">
        <f t="shared" si="39"/>
        <v>10.56</v>
      </c>
      <c r="CW30">
        <f t="shared" si="40"/>
        <v>0</v>
      </c>
      <c r="CX30">
        <f t="shared" si="40"/>
        <v>0</v>
      </c>
      <c r="CY30">
        <f t="shared" si="41"/>
        <v>701.25300000000004</v>
      </c>
      <c r="CZ30">
        <f t="shared" si="42"/>
        <v>100.179</v>
      </c>
      <c r="DC30" t="s">
        <v>3</v>
      </c>
      <c r="DD30" t="s">
        <v>25</v>
      </c>
      <c r="DE30" t="s">
        <v>25</v>
      </c>
      <c r="DF30" t="s">
        <v>25</v>
      </c>
      <c r="DG30" t="s">
        <v>25</v>
      </c>
      <c r="DH30" t="s">
        <v>3</v>
      </c>
      <c r="DI30" t="s">
        <v>25</v>
      </c>
      <c r="DJ30" t="s">
        <v>25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17</v>
      </c>
      <c r="DW30" t="s">
        <v>17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19</v>
      </c>
      <c r="EH30">
        <v>0</v>
      </c>
      <c r="EI30" t="s">
        <v>3</v>
      </c>
      <c r="EJ30">
        <v>4</v>
      </c>
      <c r="EK30">
        <v>0</v>
      </c>
      <c r="EL30" t="s">
        <v>20</v>
      </c>
      <c r="EM30" t="s">
        <v>21</v>
      </c>
      <c r="EO30" t="s">
        <v>3</v>
      </c>
      <c r="EQ30">
        <v>1024</v>
      </c>
      <c r="ER30">
        <v>1484.13</v>
      </c>
      <c r="ES30">
        <v>0</v>
      </c>
      <c r="ET30">
        <v>0</v>
      </c>
      <c r="EU30">
        <v>0</v>
      </c>
      <c r="EV30">
        <v>1484.13</v>
      </c>
      <c r="EW30">
        <v>2.64</v>
      </c>
      <c r="EX30">
        <v>0</v>
      </c>
      <c r="EY30">
        <v>0</v>
      </c>
      <c r="FQ30">
        <v>0</v>
      </c>
      <c r="FR30">
        <f t="shared" si="43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1802126441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4"/>
        <v>0</v>
      </c>
      <c r="GM30">
        <f t="shared" si="45"/>
        <v>1803.22</v>
      </c>
      <c r="GN30">
        <f t="shared" si="46"/>
        <v>0</v>
      </c>
      <c r="GO30">
        <f t="shared" si="47"/>
        <v>0</v>
      </c>
      <c r="GP30">
        <f t="shared" si="48"/>
        <v>1803.22</v>
      </c>
      <c r="GR30">
        <v>0</v>
      </c>
      <c r="GS30">
        <v>3</v>
      </c>
      <c r="GT30">
        <v>0</v>
      </c>
      <c r="GU30" t="s">
        <v>3</v>
      </c>
      <c r="GV30">
        <f t="shared" si="49"/>
        <v>0</v>
      </c>
      <c r="GW30">
        <v>1</v>
      </c>
      <c r="GX30">
        <f t="shared" si="50"/>
        <v>0</v>
      </c>
      <c r="HA30">
        <v>0</v>
      </c>
      <c r="HB30">
        <v>0</v>
      </c>
      <c r="HC30">
        <f t="shared" si="51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ROW(EtalonRes!A7)</f>
        <v>7</v>
      </c>
      <c r="E31" t="s">
        <v>3</v>
      </c>
      <c r="F31" t="s">
        <v>29</v>
      </c>
      <c r="G31" t="s">
        <v>30</v>
      </c>
      <c r="H31" t="s">
        <v>31</v>
      </c>
      <c r="I31">
        <v>5</v>
      </c>
      <c r="J31">
        <v>0</v>
      </c>
      <c r="K31">
        <v>5</v>
      </c>
      <c r="O31">
        <f t="shared" si="21"/>
        <v>10126.799999999999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10126.799999999999</v>
      </c>
      <c r="T31">
        <f t="shared" si="26"/>
        <v>0</v>
      </c>
      <c r="U31">
        <f t="shared" si="27"/>
        <v>16.399999999999999</v>
      </c>
      <c r="V31">
        <f t="shared" si="28"/>
        <v>0</v>
      </c>
      <c r="W31">
        <f t="shared" si="29"/>
        <v>0</v>
      </c>
      <c r="X31">
        <f t="shared" si="30"/>
        <v>7088.76</v>
      </c>
      <c r="Y31">
        <f t="shared" si="30"/>
        <v>1012.68</v>
      </c>
      <c r="AA31">
        <v>-1</v>
      </c>
      <c r="AB31">
        <f t="shared" si="31"/>
        <v>2025.36</v>
      </c>
      <c r="AC31">
        <f>ROUND(((ES31*4)),6)</f>
        <v>0</v>
      </c>
      <c r="AD31">
        <f>ROUND(((((ET31*4))-((EU31*4)))+AE31),6)</f>
        <v>0</v>
      </c>
      <c r="AE31">
        <f t="shared" si="52"/>
        <v>0</v>
      </c>
      <c r="AF31">
        <f t="shared" si="52"/>
        <v>2025.36</v>
      </c>
      <c r="AG31">
        <f t="shared" si="32"/>
        <v>0</v>
      </c>
      <c r="AH31">
        <f t="shared" si="53"/>
        <v>3.28</v>
      </c>
      <c r="AI31">
        <f t="shared" si="53"/>
        <v>0</v>
      </c>
      <c r="AJ31">
        <f t="shared" si="33"/>
        <v>0</v>
      </c>
      <c r="AK31">
        <v>506.34</v>
      </c>
      <c r="AL31">
        <v>0</v>
      </c>
      <c r="AM31">
        <v>0</v>
      </c>
      <c r="AN31">
        <v>0</v>
      </c>
      <c r="AO31">
        <v>506.34</v>
      </c>
      <c r="AP31">
        <v>0</v>
      </c>
      <c r="AQ31">
        <v>0.82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32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10126.799999999999</v>
      </c>
      <c r="CQ31">
        <f t="shared" si="35"/>
        <v>0</v>
      </c>
      <c r="CR31">
        <f>(((((ET31*4))*BB31-((EU31*4))*BS31)+AE31*BS31)*AV31)</f>
        <v>0</v>
      </c>
      <c r="CS31">
        <f t="shared" si="36"/>
        <v>0</v>
      </c>
      <c r="CT31">
        <f t="shared" si="37"/>
        <v>2025.36</v>
      </c>
      <c r="CU31">
        <f t="shared" si="38"/>
        <v>0</v>
      </c>
      <c r="CV31">
        <f t="shared" si="39"/>
        <v>3.28</v>
      </c>
      <c r="CW31">
        <f t="shared" si="40"/>
        <v>0</v>
      </c>
      <c r="CX31">
        <f t="shared" si="40"/>
        <v>0</v>
      </c>
      <c r="CY31">
        <f t="shared" si="41"/>
        <v>7088.76</v>
      </c>
      <c r="CZ31">
        <f t="shared" si="42"/>
        <v>1012.68</v>
      </c>
      <c r="DC31" t="s">
        <v>3</v>
      </c>
      <c r="DD31" t="s">
        <v>25</v>
      </c>
      <c r="DE31" t="s">
        <v>25</v>
      </c>
      <c r="DF31" t="s">
        <v>25</v>
      </c>
      <c r="DG31" t="s">
        <v>25</v>
      </c>
      <c r="DH31" t="s">
        <v>3</v>
      </c>
      <c r="DI31" t="s">
        <v>25</v>
      </c>
      <c r="DJ31" t="s">
        <v>25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31</v>
      </c>
      <c r="DW31" t="s">
        <v>31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19</v>
      </c>
      <c r="EH31">
        <v>0</v>
      </c>
      <c r="EI31" t="s">
        <v>3</v>
      </c>
      <c r="EJ31">
        <v>4</v>
      </c>
      <c r="EK31">
        <v>0</v>
      </c>
      <c r="EL31" t="s">
        <v>20</v>
      </c>
      <c r="EM31" t="s">
        <v>21</v>
      </c>
      <c r="EO31" t="s">
        <v>3</v>
      </c>
      <c r="EQ31">
        <v>1311744</v>
      </c>
      <c r="ER31">
        <v>506.34</v>
      </c>
      <c r="ES31">
        <v>0</v>
      </c>
      <c r="ET31">
        <v>0</v>
      </c>
      <c r="EU31">
        <v>0</v>
      </c>
      <c r="EV31">
        <v>506.34</v>
      </c>
      <c r="EW31">
        <v>0.82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1354931498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4"/>
        <v>0</v>
      </c>
      <c r="GM31">
        <f t="shared" si="45"/>
        <v>18228.240000000002</v>
      </c>
      <c r="GN31">
        <f t="shared" si="46"/>
        <v>0</v>
      </c>
      <c r="GO31">
        <f t="shared" si="47"/>
        <v>0</v>
      </c>
      <c r="GP31">
        <f t="shared" si="48"/>
        <v>18228.240000000002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D32">
        <f>ROW(EtalonRes!A9)</f>
        <v>9</v>
      </c>
      <c r="E32" t="s">
        <v>33</v>
      </c>
      <c r="F32" t="s">
        <v>34</v>
      </c>
      <c r="G32" t="s">
        <v>35</v>
      </c>
      <c r="H32" t="s">
        <v>31</v>
      </c>
      <c r="I32">
        <v>5</v>
      </c>
      <c r="J32">
        <v>0</v>
      </c>
      <c r="K32">
        <v>5</v>
      </c>
      <c r="O32">
        <f t="shared" si="21"/>
        <v>395.05</v>
      </c>
      <c r="P32">
        <f t="shared" si="22"/>
        <v>1.55</v>
      </c>
      <c r="Q32">
        <f t="shared" si="23"/>
        <v>0</v>
      </c>
      <c r="R32">
        <f t="shared" si="24"/>
        <v>0</v>
      </c>
      <c r="S32">
        <f t="shared" si="25"/>
        <v>393.5</v>
      </c>
      <c r="T32">
        <f t="shared" si="26"/>
        <v>0</v>
      </c>
      <c r="U32">
        <f t="shared" si="27"/>
        <v>0.70000000000000007</v>
      </c>
      <c r="V32">
        <f t="shared" si="28"/>
        <v>0</v>
      </c>
      <c r="W32">
        <f t="shared" si="29"/>
        <v>0</v>
      </c>
      <c r="X32">
        <f t="shared" si="30"/>
        <v>275.45</v>
      </c>
      <c r="Y32">
        <f t="shared" si="30"/>
        <v>39.35</v>
      </c>
      <c r="AA32">
        <v>1471988752</v>
      </c>
      <c r="AB32">
        <f t="shared" si="31"/>
        <v>79.010000000000005</v>
      </c>
      <c r="AC32">
        <f>ROUND((ES32),6)</f>
        <v>0.31</v>
      </c>
      <c r="AD32">
        <f>ROUND((((ET32)-(EU32))+AE32),6)</f>
        <v>0</v>
      </c>
      <c r="AE32">
        <f>ROUND((EU32),6)</f>
        <v>0</v>
      </c>
      <c r="AF32">
        <f>ROUND((EV32),6)</f>
        <v>78.7</v>
      </c>
      <c r="AG32">
        <f t="shared" si="32"/>
        <v>0</v>
      </c>
      <c r="AH32">
        <f>(EW32)</f>
        <v>0.14000000000000001</v>
      </c>
      <c r="AI32">
        <f>(EX32)</f>
        <v>0</v>
      </c>
      <c r="AJ32">
        <f t="shared" si="33"/>
        <v>0</v>
      </c>
      <c r="AK32">
        <v>79.010000000000005</v>
      </c>
      <c r="AL32">
        <v>0.31</v>
      </c>
      <c r="AM32">
        <v>0</v>
      </c>
      <c r="AN32">
        <v>0</v>
      </c>
      <c r="AO32">
        <v>78.7</v>
      </c>
      <c r="AP32">
        <v>0</v>
      </c>
      <c r="AQ32">
        <v>0.14000000000000001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36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395.05</v>
      </c>
      <c r="CQ32">
        <f t="shared" si="35"/>
        <v>0.31</v>
      </c>
      <c r="CR32">
        <f>((((ET32)*BB32-(EU32)*BS32)+AE32*BS32)*AV32)</f>
        <v>0</v>
      </c>
      <c r="CS32">
        <f t="shared" si="36"/>
        <v>0</v>
      </c>
      <c r="CT32">
        <f t="shared" si="37"/>
        <v>78.7</v>
      </c>
      <c r="CU32">
        <f t="shared" si="38"/>
        <v>0</v>
      </c>
      <c r="CV32">
        <f t="shared" si="39"/>
        <v>0.14000000000000001</v>
      </c>
      <c r="CW32">
        <f t="shared" si="40"/>
        <v>0</v>
      </c>
      <c r="CX32">
        <f t="shared" si="40"/>
        <v>0</v>
      </c>
      <c r="CY32">
        <f t="shared" si="41"/>
        <v>275.45</v>
      </c>
      <c r="CZ32">
        <f t="shared" si="42"/>
        <v>39.35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31</v>
      </c>
      <c r="DW32" t="s">
        <v>31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19</v>
      </c>
      <c r="EH32">
        <v>0</v>
      </c>
      <c r="EI32" t="s">
        <v>3</v>
      </c>
      <c r="EJ32">
        <v>4</v>
      </c>
      <c r="EK32">
        <v>0</v>
      </c>
      <c r="EL32" t="s">
        <v>20</v>
      </c>
      <c r="EM32" t="s">
        <v>21</v>
      </c>
      <c r="EO32" t="s">
        <v>3</v>
      </c>
      <c r="EQ32">
        <v>0</v>
      </c>
      <c r="ER32">
        <v>79.010000000000005</v>
      </c>
      <c r="ES32">
        <v>0.31</v>
      </c>
      <c r="ET32">
        <v>0</v>
      </c>
      <c r="EU32">
        <v>0</v>
      </c>
      <c r="EV32">
        <v>78.7</v>
      </c>
      <c r="EW32">
        <v>0.14000000000000001</v>
      </c>
      <c r="EX32">
        <v>0</v>
      </c>
      <c r="EY32">
        <v>0</v>
      </c>
      <c r="FQ32">
        <v>0</v>
      </c>
      <c r="FR32">
        <f t="shared" si="43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647212500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4"/>
        <v>0</v>
      </c>
      <c r="GM32">
        <f t="shared" si="45"/>
        <v>709.85</v>
      </c>
      <c r="GN32">
        <f t="shared" si="46"/>
        <v>0</v>
      </c>
      <c r="GO32">
        <f t="shared" si="47"/>
        <v>0</v>
      </c>
      <c r="GP32">
        <f t="shared" si="48"/>
        <v>709.85</v>
      </c>
      <c r="GR32">
        <v>0</v>
      </c>
      <c r="GS32">
        <v>3</v>
      </c>
      <c r="GT32">
        <v>0</v>
      </c>
      <c r="GU32" t="s">
        <v>3</v>
      </c>
      <c r="GV32">
        <f t="shared" si="49"/>
        <v>0</v>
      </c>
      <c r="GW32">
        <v>1</v>
      </c>
      <c r="GX32">
        <f t="shared" si="50"/>
        <v>0</v>
      </c>
      <c r="HA32">
        <v>0</v>
      </c>
      <c r="HB32">
        <v>0</v>
      </c>
      <c r="HC32">
        <f t="shared" si="51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ROW(EtalonRes!A10)</f>
        <v>10</v>
      </c>
      <c r="E33" t="s">
        <v>37</v>
      </c>
      <c r="F33" t="s">
        <v>38</v>
      </c>
      <c r="G33" t="s">
        <v>39</v>
      </c>
      <c r="H33" t="s">
        <v>40</v>
      </c>
      <c r="I33">
        <f>ROUND(5/10,9)</f>
        <v>0.5</v>
      </c>
      <c r="J33">
        <v>0</v>
      </c>
      <c r="K33">
        <f>ROUND(5/10,9)</f>
        <v>0.5</v>
      </c>
      <c r="O33">
        <f t="shared" si="21"/>
        <v>188.34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188.34</v>
      </c>
      <c r="T33">
        <f t="shared" si="26"/>
        <v>0</v>
      </c>
      <c r="U33">
        <f t="shared" si="27"/>
        <v>0.30499999999999999</v>
      </c>
      <c r="V33">
        <f t="shared" si="28"/>
        <v>0</v>
      </c>
      <c r="W33">
        <f t="shared" si="29"/>
        <v>0</v>
      </c>
      <c r="X33">
        <f t="shared" si="30"/>
        <v>131.84</v>
      </c>
      <c r="Y33">
        <f t="shared" si="30"/>
        <v>18.829999999999998</v>
      </c>
      <c r="AA33">
        <v>1471988752</v>
      </c>
      <c r="AB33">
        <f t="shared" si="31"/>
        <v>376.67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376.67</v>
      </c>
      <c r="AG33">
        <f t="shared" si="32"/>
        <v>0</v>
      </c>
      <c r="AH33">
        <f>(EW33)</f>
        <v>0.61</v>
      </c>
      <c r="AI33">
        <f>(EX33)</f>
        <v>0</v>
      </c>
      <c r="AJ33">
        <f t="shared" si="33"/>
        <v>0</v>
      </c>
      <c r="AK33">
        <v>376.67</v>
      </c>
      <c r="AL33">
        <v>0</v>
      </c>
      <c r="AM33">
        <v>0</v>
      </c>
      <c r="AN33">
        <v>0</v>
      </c>
      <c r="AO33">
        <v>376.67</v>
      </c>
      <c r="AP33">
        <v>0</v>
      </c>
      <c r="AQ33">
        <v>0.61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41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188.34</v>
      </c>
      <c r="CQ33">
        <f t="shared" si="35"/>
        <v>0</v>
      </c>
      <c r="CR33">
        <f>((((ET33)*BB33-(EU33)*BS33)+AE33*BS33)*AV33)</f>
        <v>0</v>
      </c>
      <c r="CS33">
        <f t="shared" si="36"/>
        <v>0</v>
      </c>
      <c r="CT33">
        <f t="shared" si="37"/>
        <v>376.67</v>
      </c>
      <c r="CU33">
        <f t="shared" si="38"/>
        <v>0</v>
      </c>
      <c r="CV33">
        <f t="shared" si="39"/>
        <v>0.61</v>
      </c>
      <c r="CW33">
        <f t="shared" si="40"/>
        <v>0</v>
      </c>
      <c r="CX33">
        <f t="shared" si="40"/>
        <v>0</v>
      </c>
      <c r="CY33">
        <f t="shared" si="41"/>
        <v>131.83800000000002</v>
      </c>
      <c r="CZ33">
        <f t="shared" si="42"/>
        <v>18.834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40</v>
      </c>
      <c r="DW33" t="s">
        <v>40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19</v>
      </c>
      <c r="EH33">
        <v>0</v>
      </c>
      <c r="EI33" t="s">
        <v>3</v>
      </c>
      <c r="EJ33">
        <v>4</v>
      </c>
      <c r="EK33">
        <v>0</v>
      </c>
      <c r="EL33" t="s">
        <v>20</v>
      </c>
      <c r="EM33" t="s">
        <v>21</v>
      </c>
      <c r="EO33" t="s">
        <v>3</v>
      </c>
      <c r="EQ33">
        <v>0</v>
      </c>
      <c r="ER33">
        <v>376.67</v>
      </c>
      <c r="ES33">
        <v>0</v>
      </c>
      <c r="ET33">
        <v>0</v>
      </c>
      <c r="EU33">
        <v>0</v>
      </c>
      <c r="EV33">
        <v>376.67</v>
      </c>
      <c r="EW33">
        <v>0.61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357408898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4"/>
        <v>0</v>
      </c>
      <c r="GM33">
        <f t="shared" si="45"/>
        <v>339.01</v>
      </c>
      <c r="GN33">
        <f t="shared" si="46"/>
        <v>0</v>
      </c>
      <c r="GO33">
        <f t="shared" si="47"/>
        <v>0</v>
      </c>
      <c r="GP33">
        <f t="shared" si="48"/>
        <v>339.01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ROW(EtalonRes!A11)</f>
        <v>11</v>
      </c>
      <c r="E34" t="s">
        <v>3</v>
      </c>
      <c r="F34" t="s">
        <v>42</v>
      </c>
      <c r="G34" t="s">
        <v>43</v>
      </c>
      <c r="H34" t="s">
        <v>40</v>
      </c>
      <c r="I34">
        <f>ROUND(2/10,9)</f>
        <v>0.2</v>
      </c>
      <c r="J34">
        <v>0</v>
      </c>
      <c r="K34">
        <f>ROUND(2/10,9)</f>
        <v>0.2</v>
      </c>
      <c r="O34">
        <f t="shared" si="21"/>
        <v>360.62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360.62</v>
      </c>
      <c r="T34">
        <f t="shared" si="26"/>
        <v>0</v>
      </c>
      <c r="U34">
        <f t="shared" si="27"/>
        <v>0.58399999999999996</v>
      </c>
      <c r="V34">
        <f t="shared" si="28"/>
        <v>0</v>
      </c>
      <c r="W34">
        <f t="shared" si="29"/>
        <v>0</v>
      </c>
      <c r="X34">
        <f t="shared" si="30"/>
        <v>252.43</v>
      </c>
      <c r="Y34">
        <f t="shared" si="30"/>
        <v>36.06</v>
      </c>
      <c r="AA34">
        <v>-1</v>
      </c>
      <c r="AB34">
        <f t="shared" si="31"/>
        <v>1803.08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1803.08</v>
      </c>
      <c r="AG34">
        <f t="shared" si="32"/>
        <v>0</v>
      </c>
      <c r="AH34">
        <f>((EW34*4))</f>
        <v>2.92</v>
      </c>
      <c r="AI34">
        <f>((EX34*4))</f>
        <v>0</v>
      </c>
      <c r="AJ34">
        <f t="shared" si="33"/>
        <v>0</v>
      </c>
      <c r="AK34">
        <v>450.77</v>
      </c>
      <c r="AL34">
        <v>0</v>
      </c>
      <c r="AM34">
        <v>0</v>
      </c>
      <c r="AN34">
        <v>0</v>
      </c>
      <c r="AO34">
        <v>450.77</v>
      </c>
      <c r="AP34">
        <v>0</v>
      </c>
      <c r="AQ34">
        <v>0.73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360.62</v>
      </c>
      <c r="CQ34">
        <f t="shared" si="35"/>
        <v>0</v>
      </c>
      <c r="CR34">
        <f>(((((ET34*4))*BB34-((EU34*4))*BS34)+AE34*BS34)*AV34)</f>
        <v>0</v>
      </c>
      <c r="CS34">
        <f t="shared" si="36"/>
        <v>0</v>
      </c>
      <c r="CT34">
        <f t="shared" si="37"/>
        <v>1803.08</v>
      </c>
      <c r="CU34">
        <f t="shared" si="38"/>
        <v>0</v>
      </c>
      <c r="CV34">
        <f t="shared" si="39"/>
        <v>2.92</v>
      </c>
      <c r="CW34">
        <f t="shared" si="40"/>
        <v>0</v>
      </c>
      <c r="CX34">
        <f t="shared" si="40"/>
        <v>0</v>
      </c>
      <c r="CY34">
        <f t="shared" si="41"/>
        <v>252.43400000000003</v>
      </c>
      <c r="CZ34">
        <f t="shared" si="42"/>
        <v>36.061999999999998</v>
      </c>
      <c r="DC34" t="s">
        <v>3</v>
      </c>
      <c r="DD34" t="s">
        <v>25</v>
      </c>
      <c r="DE34" t="s">
        <v>25</v>
      </c>
      <c r="DF34" t="s">
        <v>25</v>
      </c>
      <c r="DG34" t="s">
        <v>25</v>
      </c>
      <c r="DH34" t="s">
        <v>3</v>
      </c>
      <c r="DI34" t="s">
        <v>25</v>
      </c>
      <c r="DJ34" t="s">
        <v>25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40</v>
      </c>
      <c r="DW34" t="s">
        <v>40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19</v>
      </c>
      <c r="EH34">
        <v>0</v>
      </c>
      <c r="EI34" t="s">
        <v>3</v>
      </c>
      <c r="EJ34">
        <v>4</v>
      </c>
      <c r="EK34">
        <v>0</v>
      </c>
      <c r="EL34" t="s">
        <v>20</v>
      </c>
      <c r="EM34" t="s">
        <v>21</v>
      </c>
      <c r="EO34" t="s">
        <v>3</v>
      </c>
      <c r="EQ34">
        <v>1024</v>
      </c>
      <c r="ER34">
        <v>450.77</v>
      </c>
      <c r="ES34">
        <v>0</v>
      </c>
      <c r="ET34">
        <v>0</v>
      </c>
      <c r="EU34">
        <v>0</v>
      </c>
      <c r="EV34">
        <v>450.77</v>
      </c>
      <c r="EW34">
        <v>0.73</v>
      </c>
      <c r="EX34">
        <v>0</v>
      </c>
      <c r="EY34">
        <v>0</v>
      </c>
      <c r="FQ34">
        <v>0</v>
      </c>
      <c r="FR34">
        <f t="shared" si="43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-350537421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4"/>
        <v>0</v>
      </c>
      <c r="GM34">
        <f t="shared" si="45"/>
        <v>649.11</v>
      </c>
      <c r="GN34">
        <f t="shared" si="46"/>
        <v>0</v>
      </c>
      <c r="GO34">
        <f t="shared" si="47"/>
        <v>0</v>
      </c>
      <c r="GP34">
        <f t="shared" si="48"/>
        <v>649.11</v>
      </c>
      <c r="GR34">
        <v>0</v>
      </c>
      <c r="GS34">
        <v>3</v>
      </c>
      <c r="GT34">
        <v>0</v>
      </c>
      <c r="GU34" t="s">
        <v>3</v>
      </c>
      <c r="GV34">
        <f t="shared" si="49"/>
        <v>0</v>
      </c>
      <c r="GW34">
        <v>1</v>
      </c>
      <c r="GX34">
        <f t="shared" si="50"/>
        <v>0</v>
      </c>
      <c r="HA34">
        <v>0</v>
      </c>
      <c r="HB34">
        <v>0</v>
      </c>
      <c r="HC34">
        <f t="shared" si="51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6" spans="1:245" x14ac:dyDescent="0.2">
      <c r="A36" s="2">
        <v>51</v>
      </c>
      <c r="B36" s="2">
        <f>B24</f>
        <v>1</v>
      </c>
      <c r="C36" s="2">
        <f>A24</f>
        <v>4</v>
      </c>
      <c r="D36" s="2">
        <f>ROW(A24)</f>
        <v>24</v>
      </c>
      <c r="E36" s="2"/>
      <c r="F36" s="2" t="str">
        <f>IF(F24&lt;&gt;"",F24,"")</f>
        <v>Новый раздел</v>
      </c>
      <c r="G36" s="2" t="str">
        <f>IF(G24&lt;&gt;"",G24,"")</f>
        <v>Раздел: 1. Внутреннее водоснабжение и водоотведение.</v>
      </c>
      <c r="H36" s="2">
        <v>0</v>
      </c>
      <c r="I36" s="2"/>
      <c r="J36" s="2"/>
      <c r="K36" s="2"/>
      <c r="L36" s="2"/>
      <c r="M36" s="2"/>
      <c r="N36" s="2"/>
      <c r="O36" s="2">
        <f t="shared" ref="O36:T36" si="54">ROUND(AB36,2)</f>
        <v>583.39</v>
      </c>
      <c r="P36" s="2">
        <f t="shared" si="54"/>
        <v>1.55</v>
      </c>
      <c r="Q36" s="2">
        <f t="shared" si="54"/>
        <v>0</v>
      </c>
      <c r="R36" s="2">
        <f t="shared" si="54"/>
        <v>0</v>
      </c>
      <c r="S36" s="2">
        <f t="shared" si="54"/>
        <v>581.84</v>
      </c>
      <c r="T36" s="2">
        <f t="shared" si="54"/>
        <v>0</v>
      </c>
      <c r="U36" s="2">
        <f>AH36</f>
        <v>1.0050000000000001</v>
      </c>
      <c r="V36" s="2">
        <f>AI36</f>
        <v>0</v>
      </c>
      <c r="W36" s="2">
        <f>ROUND(AJ36,2)</f>
        <v>0</v>
      </c>
      <c r="X36" s="2">
        <f>ROUND(AK36,2)</f>
        <v>407.29</v>
      </c>
      <c r="Y36" s="2">
        <f>ROUND(AL36,2)</f>
        <v>58.18</v>
      </c>
      <c r="Z36" s="2"/>
      <c r="AA36" s="2"/>
      <c r="AB36" s="2">
        <f>ROUND(SUMIF(AA28:AA34,"=1471988752",O28:O34),2)</f>
        <v>583.39</v>
      </c>
      <c r="AC36" s="2">
        <f>ROUND(SUMIF(AA28:AA34,"=1471988752",P28:P34),2)</f>
        <v>1.55</v>
      </c>
      <c r="AD36" s="2">
        <f>ROUND(SUMIF(AA28:AA34,"=1471988752",Q28:Q34),2)</f>
        <v>0</v>
      </c>
      <c r="AE36" s="2">
        <f>ROUND(SUMIF(AA28:AA34,"=1471988752",R28:R34),2)</f>
        <v>0</v>
      </c>
      <c r="AF36" s="2">
        <f>ROUND(SUMIF(AA28:AA34,"=1471988752",S28:S34),2)</f>
        <v>581.84</v>
      </c>
      <c r="AG36" s="2">
        <f>ROUND(SUMIF(AA28:AA34,"=1471988752",T28:T34),2)</f>
        <v>0</v>
      </c>
      <c r="AH36" s="2">
        <f>SUMIF(AA28:AA34,"=1471988752",U28:U34)</f>
        <v>1.0050000000000001</v>
      </c>
      <c r="AI36" s="2">
        <f>SUMIF(AA28:AA34,"=1471988752",V28:V34)</f>
        <v>0</v>
      </c>
      <c r="AJ36" s="2">
        <f>ROUND(SUMIF(AA28:AA34,"=1471988752",W28:W34),2)</f>
        <v>0</v>
      </c>
      <c r="AK36" s="2">
        <f>ROUND(SUMIF(AA28:AA34,"=1471988752",X28:X34),2)</f>
        <v>407.29</v>
      </c>
      <c r="AL36" s="2">
        <f>ROUND(SUMIF(AA28:AA34,"=1471988752",Y28:Y34),2)</f>
        <v>58.18</v>
      </c>
      <c r="AM36" s="2"/>
      <c r="AN36" s="2"/>
      <c r="AO36" s="2">
        <f t="shared" ref="AO36:BD36" si="55">ROUND(BX36,2)</f>
        <v>0</v>
      </c>
      <c r="AP36" s="2">
        <f t="shared" si="55"/>
        <v>0</v>
      </c>
      <c r="AQ36" s="2">
        <f t="shared" si="55"/>
        <v>0</v>
      </c>
      <c r="AR36" s="2">
        <f t="shared" si="55"/>
        <v>1048.8599999999999</v>
      </c>
      <c r="AS36" s="2">
        <f t="shared" si="55"/>
        <v>0</v>
      </c>
      <c r="AT36" s="2">
        <f t="shared" si="55"/>
        <v>0</v>
      </c>
      <c r="AU36" s="2">
        <f t="shared" si="55"/>
        <v>1048.8599999999999</v>
      </c>
      <c r="AV36" s="2">
        <f t="shared" si="55"/>
        <v>1.55</v>
      </c>
      <c r="AW36" s="2">
        <f t="shared" si="55"/>
        <v>1.55</v>
      </c>
      <c r="AX36" s="2">
        <f t="shared" si="55"/>
        <v>0</v>
      </c>
      <c r="AY36" s="2">
        <f t="shared" si="55"/>
        <v>1.55</v>
      </c>
      <c r="AZ36" s="2">
        <f t="shared" si="55"/>
        <v>0</v>
      </c>
      <c r="BA36" s="2">
        <f t="shared" si="55"/>
        <v>0</v>
      </c>
      <c r="BB36" s="2">
        <f t="shared" si="55"/>
        <v>0</v>
      </c>
      <c r="BC36" s="2">
        <f t="shared" si="55"/>
        <v>0</v>
      </c>
      <c r="BD36" s="2">
        <f t="shared" si="55"/>
        <v>0</v>
      </c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>
        <f>ROUND(SUMIF(AA28:AA34,"=1471988752",FQ28:FQ34),2)</f>
        <v>0</v>
      </c>
      <c r="BY36" s="2">
        <f>ROUND(SUMIF(AA28:AA34,"=1471988752",FR28:FR34),2)</f>
        <v>0</v>
      </c>
      <c r="BZ36" s="2">
        <f>ROUND(SUMIF(AA28:AA34,"=1471988752",GL28:GL34),2)</f>
        <v>0</v>
      </c>
      <c r="CA36" s="2">
        <f>ROUND(SUMIF(AA28:AA34,"=1471988752",GM28:GM34),2)</f>
        <v>1048.8599999999999</v>
      </c>
      <c r="CB36" s="2">
        <f>ROUND(SUMIF(AA28:AA34,"=1471988752",GN28:GN34),2)</f>
        <v>0</v>
      </c>
      <c r="CC36" s="2">
        <f>ROUND(SUMIF(AA28:AA34,"=1471988752",GO28:GO34),2)</f>
        <v>0</v>
      </c>
      <c r="CD36" s="2">
        <f>ROUND(SUMIF(AA28:AA34,"=1471988752",GP28:GP34),2)</f>
        <v>1048.8599999999999</v>
      </c>
      <c r="CE36" s="2">
        <f>AC36-BX36</f>
        <v>1.55</v>
      </c>
      <c r="CF36" s="2">
        <f>AC36-BY36</f>
        <v>1.55</v>
      </c>
      <c r="CG36" s="2">
        <f>BX36-BZ36</f>
        <v>0</v>
      </c>
      <c r="CH36" s="2">
        <f>AC36-BX36-BY36+BZ36</f>
        <v>1.55</v>
      </c>
      <c r="CI36" s="2">
        <f>BY36-BZ36</f>
        <v>0</v>
      </c>
      <c r="CJ36" s="2">
        <f>ROUND(SUMIF(AA28:AA34,"=1471988752",GX28:GX34),2)</f>
        <v>0</v>
      </c>
      <c r="CK36" s="2">
        <f>ROUND(SUMIF(AA28:AA34,"=1471988752",GY28:GY34),2)</f>
        <v>0</v>
      </c>
      <c r="CL36" s="2">
        <f>ROUND(SUMIF(AA28:AA34,"=1471988752",GZ28:GZ34),2)</f>
        <v>0</v>
      </c>
      <c r="CM36" s="2">
        <f>ROUND(SUMIF(AA28:AA34,"=1471988752",HD28:HD34),2)</f>
        <v>0</v>
      </c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>
        <v>0</v>
      </c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201</v>
      </c>
      <c r="F38" s="4">
        <f>ROUND(Source!O36,O38)</f>
        <v>583.39</v>
      </c>
      <c r="G38" s="4" t="s">
        <v>45</v>
      </c>
      <c r="H38" s="4" t="s">
        <v>46</v>
      </c>
      <c r="I38" s="4"/>
      <c r="J38" s="4"/>
      <c r="K38" s="4">
        <v>201</v>
      </c>
      <c r="L38" s="4">
        <v>1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583.39</v>
      </c>
      <c r="X38" s="4">
        <v>1</v>
      </c>
      <c r="Y38" s="4">
        <v>583.39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202</v>
      </c>
      <c r="F39" s="4">
        <f>ROUND(Source!P36,O39)</f>
        <v>1.55</v>
      </c>
      <c r="G39" s="4" t="s">
        <v>47</v>
      </c>
      <c r="H39" s="4" t="s">
        <v>48</v>
      </c>
      <c r="I39" s="4"/>
      <c r="J39" s="4"/>
      <c r="K39" s="4">
        <v>202</v>
      </c>
      <c r="L39" s="4">
        <v>2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1.55</v>
      </c>
      <c r="X39" s="4">
        <v>1</v>
      </c>
      <c r="Y39" s="4">
        <v>1.55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222</v>
      </c>
      <c r="F40" s="4">
        <f>ROUND(Source!AO36,O40)</f>
        <v>0</v>
      </c>
      <c r="G40" s="4" t="s">
        <v>49</v>
      </c>
      <c r="H40" s="4" t="s">
        <v>50</v>
      </c>
      <c r="I40" s="4"/>
      <c r="J40" s="4"/>
      <c r="K40" s="4">
        <v>222</v>
      </c>
      <c r="L40" s="4">
        <v>3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225</v>
      </c>
      <c r="F41" s="4">
        <f>ROUND(Source!AV36,O41)</f>
        <v>1.55</v>
      </c>
      <c r="G41" s="4" t="s">
        <v>51</v>
      </c>
      <c r="H41" s="4" t="s">
        <v>52</v>
      </c>
      <c r="I41" s="4"/>
      <c r="J41" s="4"/>
      <c r="K41" s="4">
        <v>225</v>
      </c>
      <c r="L41" s="4">
        <v>4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1.55</v>
      </c>
      <c r="X41" s="4">
        <v>1</v>
      </c>
      <c r="Y41" s="4">
        <v>1.55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226</v>
      </c>
      <c r="F42" s="4">
        <f>ROUND(Source!AW36,O42)</f>
        <v>1.55</v>
      </c>
      <c r="G42" s="4" t="s">
        <v>53</v>
      </c>
      <c r="H42" s="4" t="s">
        <v>54</v>
      </c>
      <c r="I42" s="4"/>
      <c r="J42" s="4"/>
      <c r="K42" s="4">
        <v>226</v>
      </c>
      <c r="L42" s="4">
        <v>5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1.55</v>
      </c>
      <c r="X42" s="4">
        <v>1</v>
      </c>
      <c r="Y42" s="4">
        <v>1.55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227</v>
      </c>
      <c r="F43" s="4">
        <f>ROUND(Source!AX36,O43)</f>
        <v>0</v>
      </c>
      <c r="G43" s="4" t="s">
        <v>55</v>
      </c>
      <c r="H43" s="4" t="s">
        <v>56</v>
      </c>
      <c r="I43" s="4"/>
      <c r="J43" s="4"/>
      <c r="K43" s="4">
        <v>227</v>
      </c>
      <c r="L43" s="4">
        <v>6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228</v>
      </c>
      <c r="F44" s="4">
        <f>ROUND(Source!AY36,O44)</f>
        <v>1.55</v>
      </c>
      <c r="G44" s="4" t="s">
        <v>57</v>
      </c>
      <c r="H44" s="4" t="s">
        <v>58</v>
      </c>
      <c r="I44" s="4"/>
      <c r="J44" s="4"/>
      <c r="K44" s="4">
        <v>228</v>
      </c>
      <c r="L44" s="4">
        <v>7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1.55</v>
      </c>
      <c r="X44" s="4">
        <v>1</v>
      </c>
      <c r="Y44" s="4">
        <v>1.55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216</v>
      </c>
      <c r="F45" s="4">
        <f>ROUND(Source!AP36,O45)</f>
        <v>0</v>
      </c>
      <c r="G45" s="4" t="s">
        <v>59</v>
      </c>
      <c r="H45" s="4" t="s">
        <v>60</v>
      </c>
      <c r="I45" s="4"/>
      <c r="J45" s="4"/>
      <c r="K45" s="4">
        <v>216</v>
      </c>
      <c r="L45" s="4">
        <v>8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223</v>
      </c>
      <c r="F46" s="4">
        <f>ROUND(Source!AQ36,O46)</f>
        <v>0</v>
      </c>
      <c r="G46" s="4" t="s">
        <v>61</v>
      </c>
      <c r="H46" s="4" t="s">
        <v>62</v>
      </c>
      <c r="I46" s="4"/>
      <c r="J46" s="4"/>
      <c r="K46" s="4">
        <v>223</v>
      </c>
      <c r="L46" s="4">
        <v>9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229</v>
      </c>
      <c r="F47" s="4">
        <f>ROUND(Source!AZ36,O47)</f>
        <v>0</v>
      </c>
      <c r="G47" s="4" t="s">
        <v>63</v>
      </c>
      <c r="H47" s="4" t="s">
        <v>64</v>
      </c>
      <c r="I47" s="4"/>
      <c r="J47" s="4"/>
      <c r="K47" s="4">
        <v>229</v>
      </c>
      <c r="L47" s="4">
        <v>10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203</v>
      </c>
      <c r="F48" s="4">
        <f>ROUND(Source!Q36,O48)</f>
        <v>0</v>
      </c>
      <c r="G48" s="4" t="s">
        <v>65</v>
      </c>
      <c r="H48" s="4" t="s">
        <v>66</v>
      </c>
      <c r="I48" s="4"/>
      <c r="J48" s="4"/>
      <c r="K48" s="4">
        <v>203</v>
      </c>
      <c r="L48" s="4">
        <v>11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231</v>
      </c>
      <c r="F49" s="4">
        <f>ROUND(Source!BB36,O49)</f>
        <v>0</v>
      </c>
      <c r="G49" s="4" t="s">
        <v>67</v>
      </c>
      <c r="H49" s="4" t="s">
        <v>68</v>
      </c>
      <c r="I49" s="4"/>
      <c r="J49" s="4"/>
      <c r="K49" s="4">
        <v>231</v>
      </c>
      <c r="L49" s="4">
        <v>12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204</v>
      </c>
      <c r="F50" s="4">
        <f>ROUND(Source!R36,O50)</f>
        <v>0</v>
      </c>
      <c r="G50" s="4" t="s">
        <v>69</v>
      </c>
      <c r="H50" s="4" t="s">
        <v>70</v>
      </c>
      <c r="I50" s="4"/>
      <c r="J50" s="4"/>
      <c r="K50" s="4">
        <v>204</v>
      </c>
      <c r="L50" s="4">
        <v>13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205</v>
      </c>
      <c r="F51" s="4">
        <f>ROUND(Source!S36,O51)</f>
        <v>581.84</v>
      </c>
      <c r="G51" s="4" t="s">
        <v>71</v>
      </c>
      <c r="H51" s="4" t="s">
        <v>72</v>
      </c>
      <c r="I51" s="4"/>
      <c r="J51" s="4"/>
      <c r="K51" s="4">
        <v>205</v>
      </c>
      <c r="L51" s="4">
        <v>14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581.84</v>
      </c>
      <c r="X51" s="4">
        <v>1</v>
      </c>
      <c r="Y51" s="4">
        <v>581.84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232</v>
      </c>
      <c r="F52" s="4">
        <f>ROUND(Source!BC36,O52)</f>
        <v>0</v>
      </c>
      <c r="G52" s="4" t="s">
        <v>73</v>
      </c>
      <c r="H52" s="4" t="s">
        <v>74</v>
      </c>
      <c r="I52" s="4"/>
      <c r="J52" s="4"/>
      <c r="K52" s="4">
        <v>232</v>
      </c>
      <c r="L52" s="4">
        <v>15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ROUND(Source!AS36,O53)</f>
        <v>0</v>
      </c>
      <c r="G53" s="4" t="s">
        <v>75</v>
      </c>
      <c r="H53" s="4" t="s">
        <v>76</v>
      </c>
      <c r="I53" s="4"/>
      <c r="J53" s="4"/>
      <c r="K53" s="4">
        <v>214</v>
      </c>
      <c r="L53" s="4">
        <v>16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ROUND(Source!AT36,O54)</f>
        <v>0</v>
      </c>
      <c r="G54" s="4" t="s">
        <v>77</v>
      </c>
      <c r="H54" s="4" t="s">
        <v>78</v>
      </c>
      <c r="I54" s="4"/>
      <c r="J54" s="4"/>
      <c r="K54" s="4">
        <v>215</v>
      </c>
      <c r="L54" s="4">
        <v>17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ROUND(Source!AU36,O55)</f>
        <v>1048.8599999999999</v>
      </c>
      <c r="G55" s="4" t="s">
        <v>79</v>
      </c>
      <c r="H55" s="4" t="s">
        <v>80</v>
      </c>
      <c r="I55" s="4"/>
      <c r="J55" s="4"/>
      <c r="K55" s="4">
        <v>217</v>
      </c>
      <c r="L55" s="4">
        <v>18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1048.8599999999999</v>
      </c>
      <c r="X55" s="4">
        <v>1</v>
      </c>
      <c r="Y55" s="4">
        <v>1048.8599999999999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230</v>
      </c>
      <c r="F56" s="4">
        <f>ROUND(Source!BA36,O56)</f>
        <v>0</v>
      </c>
      <c r="G56" s="4" t="s">
        <v>81</v>
      </c>
      <c r="H56" s="4" t="s">
        <v>82</v>
      </c>
      <c r="I56" s="4"/>
      <c r="J56" s="4"/>
      <c r="K56" s="4">
        <v>230</v>
      </c>
      <c r="L56" s="4">
        <v>19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206</v>
      </c>
      <c r="F57" s="4">
        <f>ROUND(Source!T36,O57)</f>
        <v>0</v>
      </c>
      <c r="G57" s="4" t="s">
        <v>83</v>
      </c>
      <c r="H57" s="4" t="s">
        <v>84</v>
      </c>
      <c r="I57" s="4"/>
      <c r="J57" s="4"/>
      <c r="K57" s="4">
        <v>206</v>
      </c>
      <c r="L57" s="4">
        <v>20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207</v>
      </c>
      <c r="F58" s="4">
        <f>Source!U36</f>
        <v>1.0050000000000001</v>
      </c>
      <c r="G58" s="4" t="s">
        <v>85</v>
      </c>
      <c r="H58" s="4" t="s">
        <v>86</v>
      </c>
      <c r="I58" s="4"/>
      <c r="J58" s="4"/>
      <c r="K58" s="4">
        <v>207</v>
      </c>
      <c r="L58" s="4">
        <v>21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1.0049999999999999</v>
      </c>
      <c r="X58" s="4">
        <v>1</v>
      </c>
      <c r="Y58" s="4">
        <v>1.0049999999999999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208</v>
      </c>
      <c r="F59" s="4">
        <f>Source!V36</f>
        <v>0</v>
      </c>
      <c r="G59" s="4" t="s">
        <v>87</v>
      </c>
      <c r="H59" s="4" t="s">
        <v>88</v>
      </c>
      <c r="I59" s="4"/>
      <c r="J59" s="4"/>
      <c r="K59" s="4">
        <v>208</v>
      </c>
      <c r="L59" s="4">
        <v>22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209</v>
      </c>
      <c r="F60" s="4">
        <f>ROUND(Source!W36,O60)</f>
        <v>0</v>
      </c>
      <c r="G60" s="4" t="s">
        <v>89</v>
      </c>
      <c r="H60" s="4" t="s">
        <v>90</v>
      </c>
      <c r="I60" s="4"/>
      <c r="J60" s="4"/>
      <c r="K60" s="4">
        <v>209</v>
      </c>
      <c r="L60" s="4">
        <v>23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233</v>
      </c>
      <c r="F61" s="4">
        <f>ROUND(Source!BD36,O61)</f>
        <v>0</v>
      </c>
      <c r="G61" s="4" t="s">
        <v>91</v>
      </c>
      <c r="H61" s="4" t="s">
        <v>92</v>
      </c>
      <c r="I61" s="4"/>
      <c r="J61" s="4"/>
      <c r="K61" s="4">
        <v>233</v>
      </c>
      <c r="L61" s="4">
        <v>24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ROUND(Source!X36,O62)</f>
        <v>407.29</v>
      </c>
      <c r="G62" s="4" t="s">
        <v>93</v>
      </c>
      <c r="H62" s="4" t="s">
        <v>94</v>
      </c>
      <c r="I62" s="4"/>
      <c r="J62" s="4"/>
      <c r="K62" s="4">
        <v>210</v>
      </c>
      <c r="L62" s="4">
        <v>25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407.29</v>
      </c>
      <c r="X62" s="4">
        <v>1</v>
      </c>
      <c r="Y62" s="4">
        <v>407.29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ROUND(Source!Y36,O63)</f>
        <v>58.18</v>
      </c>
      <c r="G63" s="4" t="s">
        <v>95</v>
      </c>
      <c r="H63" s="4" t="s">
        <v>96</v>
      </c>
      <c r="I63" s="4"/>
      <c r="J63" s="4"/>
      <c r="K63" s="4">
        <v>211</v>
      </c>
      <c r="L63" s="4">
        <v>26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58.18</v>
      </c>
      <c r="X63" s="4">
        <v>1</v>
      </c>
      <c r="Y63" s="4">
        <v>58.18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ROUND(Source!AR36,O64)</f>
        <v>1048.8599999999999</v>
      </c>
      <c r="G64" s="4" t="s">
        <v>97</v>
      </c>
      <c r="H64" s="4" t="s">
        <v>98</v>
      </c>
      <c r="I64" s="4"/>
      <c r="J64" s="4"/>
      <c r="K64" s="4">
        <v>224</v>
      </c>
      <c r="L64" s="4">
        <v>27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1048.8599999999999</v>
      </c>
      <c r="X64" s="4">
        <v>1</v>
      </c>
      <c r="Y64" s="4">
        <v>1048.8599999999999</v>
      </c>
      <c r="Z64" s="4"/>
      <c r="AA64" s="4"/>
      <c r="AB64" s="4"/>
    </row>
    <row r="66" spans="1:245" x14ac:dyDescent="0.2">
      <c r="A66" s="1">
        <v>4</v>
      </c>
      <c r="B66" s="1">
        <v>1</v>
      </c>
      <c r="C66" s="1"/>
      <c r="D66" s="1">
        <f>ROW(A199)</f>
        <v>199</v>
      </c>
      <c r="E66" s="1"/>
      <c r="F66" s="1" t="s">
        <v>13</v>
      </c>
      <c r="G66" s="1" t="s">
        <v>99</v>
      </c>
      <c r="H66" s="1" t="s">
        <v>3</v>
      </c>
      <c r="I66" s="1">
        <v>0</v>
      </c>
      <c r="J66" s="1"/>
      <c r="K66" s="1">
        <v>-1</v>
      </c>
      <c r="L66" s="1"/>
      <c r="M66" s="1" t="s">
        <v>3</v>
      </c>
      <c r="N66" s="1"/>
      <c r="O66" s="1"/>
      <c r="P66" s="1"/>
      <c r="Q66" s="1"/>
      <c r="R66" s="1"/>
      <c r="S66" s="1">
        <v>0</v>
      </c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6">B199</f>
        <v>1</v>
      </c>
      <c r="C68" s="2">
        <f t="shared" si="56"/>
        <v>4</v>
      </c>
      <c r="D68" s="2">
        <f t="shared" si="56"/>
        <v>66</v>
      </c>
      <c r="E68" s="2">
        <f t="shared" si="56"/>
        <v>0</v>
      </c>
      <c r="F68" s="2" t="str">
        <f t="shared" si="56"/>
        <v>Новый раздел</v>
      </c>
      <c r="G68" s="2" t="str">
        <f t="shared" si="56"/>
        <v>Раздел: 2. Внутренние сети отопления и ИТП</v>
      </c>
      <c r="H68" s="2"/>
      <c r="I68" s="2"/>
      <c r="J68" s="2"/>
      <c r="K68" s="2"/>
      <c r="L68" s="2"/>
      <c r="M68" s="2"/>
      <c r="N68" s="2"/>
      <c r="O68" s="2">
        <f t="shared" ref="O68:AT68" si="57">O199</f>
        <v>52718.720000000001</v>
      </c>
      <c r="P68" s="2">
        <f t="shared" si="57"/>
        <v>4551.84</v>
      </c>
      <c r="Q68" s="2">
        <f t="shared" si="57"/>
        <v>6525.46</v>
      </c>
      <c r="R68" s="2">
        <f t="shared" si="57"/>
        <v>4137.6099999999997</v>
      </c>
      <c r="S68" s="2">
        <f t="shared" si="57"/>
        <v>41641.42</v>
      </c>
      <c r="T68" s="2">
        <f t="shared" si="57"/>
        <v>0</v>
      </c>
      <c r="U68" s="2">
        <f t="shared" si="57"/>
        <v>61.051999999999992</v>
      </c>
      <c r="V68" s="2">
        <f t="shared" si="57"/>
        <v>0</v>
      </c>
      <c r="W68" s="2">
        <f t="shared" si="57"/>
        <v>0</v>
      </c>
      <c r="X68" s="2">
        <f t="shared" si="57"/>
        <v>29149.01</v>
      </c>
      <c r="Y68" s="2">
        <f t="shared" si="57"/>
        <v>4164.1499999999996</v>
      </c>
      <c r="Z68" s="2">
        <f t="shared" si="57"/>
        <v>0</v>
      </c>
      <c r="AA68" s="2">
        <f t="shared" si="57"/>
        <v>0</v>
      </c>
      <c r="AB68" s="2">
        <f t="shared" si="57"/>
        <v>0</v>
      </c>
      <c r="AC68" s="2">
        <f t="shared" si="57"/>
        <v>0</v>
      </c>
      <c r="AD68" s="2">
        <f t="shared" si="57"/>
        <v>0</v>
      </c>
      <c r="AE68" s="2">
        <f t="shared" si="57"/>
        <v>0</v>
      </c>
      <c r="AF68" s="2">
        <f t="shared" si="57"/>
        <v>0</v>
      </c>
      <c r="AG68" s="2">
        <f t="shared" si="57"/>
        <v>0</v>
      </c>
      <c r="AH68" s="2">
        <f t="shared" si="57"/>
        <v>0</v>
      </c>
      <c r="AI68" s="2">
        <f t="shared" si="57"/>
        <v>0</v>
      </c>
      <c r="AJ68" s="2">
        <f t="shared" si="57"/>
        <v>0</v>
      </c>
      <c r="AK68" s="2">
        <f t="shared" si="57"/>
        <v>0</v>
      </c>
      <c r="AL68" s="2">
        <f t="shared" si="57"/>
        <v>0</v>
      </c>
      <c r="AM68" s="2">
        <f t="shared" si="57"/>
        <v>0</v>
      </c>
      <c r="AN68" s="2">
        <f t="shared" si="57"/>
        <v>0</v>
      </c>
      <c r="AO68" s="2">
        <f t="shared" si="57"/>
        <v>0</v>
      </c>
      <c r="AP68" s="2">
        <f t="shared" si="57"/>
        <v>0</v>
      </c>
      <c r="AQ68" s="2">
        <f t="shared" si="57"/>
        <v>0</v>
      </c>
      <c r="AR68" s="2">
        <f t="shared" si="57"/>
        <v>90500.51</v>
      </c>
      <c r="AS68" s="2">
        <f t="shared" si="57"/>
        <v>0</v>
      </c>
      <c r="AT68" s="2">
        <f t="shared" si="57"/>
        <v>0</v>
      </c>
      <c r="AU68" s="2">
        <f t="shared" ref="AU68:BZ68" si="58">AU199</f>
        <v>90500.51</v>
      </c>
      <c r="AV68" s="2">
        <f t="shared" si="58"/>
        <v>4551.84</v>
      </c>
      <c r="AW68" s="2">
        <f t="shared" si="58"/>
        <v>4551.84</v>
      </c>
      <c r="AX68" s="2">
        <f t="shared" si="58"/>
        <v>0</v>
      </c>
      <c r="AY68" s="2">
        <f t="shared" si="58"/>
        <v>4551.84</v>
      </c>
      <c r="AZ68" s="2">
        <f t="shared" si="58"/>
        <v>0</v>
      </c>
      <c r="BA68" s="2">
        <f t="shared" si="58"/>
        <v>0</v>
      </c>
      <c r="BB68" s="2">
        <f t="shared" si="58"/>
        <v>0</v>
      </c>
      <c r="BC68" s="2">
        <f t="shared" si="58"/>
        <v>0</v>
      </c>
      <c r="BD68" s="2">
        <f t="shared" si="58"/>
        <v>0</v>
      </c>
      <c r="BE68" s="2">
        <f t="shared" si="58"/>
        <v>0</v>
      </c>
      <c r="BF68" s="2">
        <f t="shared" si="58"/>
        <v>0</v>
      </c>
      <c r="BG68" s="2">
        <f t="shared" si="58"/>
        <v>0</v>
      </c>
      <c r="BH68" s="2">
        <f t="shared" si="58"/>
        <v>0</v>
      </c>
      <c r="BI68" s="2">
        <f t="shared" si="58"/>
        <v>0</v>
      </c>
      <c r="BJ68" s="2">
        <f t="shared" si="58"/>
        <v>0</v>
      </c>
      <c r="BK68" s="2">
        <f t="shared" si="58"/>
        <v>0</v>
      </c>
      <c r="BL68" s="2">
        <f t="shared" si="58"/>
        <v>0</v>
      </c>
      <c r="BM68" s="2">
        <f t="shared" si="58"/>
        <v>0</v>
      </c>
      <c r="BN68" s="2">
        <f t="shared" si="58"/>
        <v>0</v>
      </c>
      <c r="BO68" s="2">
        <f t="shared" si="58"/>
        <v>0</v>
      </c>
      <c r="BP68" s="2">
        <f t="shared" si="58"/>
        <v>0</v>
      </c>
      <c r="BQ68" s="2">
        <f t="shared" si="58"/>
        <v>0</v>
      </c>
      <c r="BR68" s="2">
        <f t="shared" si="58"/>
        <v>0</v>
      </c>
      <c r="BS68" s="2">
        <f t="shared" si="58"/>
        <v>0</v>
      </c>
      <c r="BT68" s="2">
        <f t="shared" si="58"/>
        <v>0</v>
      </c>
      <c r="BU68" s="2">
        <f t="shared" si="58"/>
        <v>0</v>
      </c>
      <c r="BV68" s="2">
        <f t="shared" si="58"/>
        <v>0</v>
      </c>
      <c r="BW68" s="2">
        <f t="shared" si="58"/>
        <v>0</v>
      </c>
      <c r="BX68" s="2">
        <f t="shared" si="58"/>
        <v>0</v>
      </c>
      <c r="BY68" s="2">
        <f t="shared" si="58"/>
        <v>0</v>
      </c>
      <c r="BZ68" s="2">
        <f t="shared" si="58"/>
        <v>0</v>
      </c>
      <c r="CA68" s="2">
        <f t="shared" ref="CA68:DF68" si="59">CA199</f>
        <v>0</v>
      </c>
      <c r="CB68" s="2">
        <f t="shared" si="59"/>
        <v>0</v>
      </c>
      <c r="CC68" s="2">
        <f t="shared" si="59"/>
        <v>0</v>
      </c>
      <c r="CD68" s="2">
        <f t="shared" si="59"/>
        <v>0</v>
      </c>
      <c r="CE68" s="2">
        <f t="shared" si="59"/>
        <v>0</v>
      </c>
      <c r="CF68" s="2">
        <f t="shared" si="59"/>
        <v>0</v>
      </c>
      <c r="CG68" s="2">
        <f t="shared" si="59"/>
        <v>0</v>
      </c>
      <c r="CH68" s="2">
        <f t="shared" si="59"/>
        <v>0</v>
      </c>
      <c r="CI68" s="2">
        <f t="shared" si="59"/>
        <v>0</v>
      </c>
      <c r="CJ68" s="2">
        <f t="shared" si="59"/>
        <v>0</v>
      </c>
      <c r="CK68" s="2">
        <f t="shared" si="59"/>
        <v>0</v>
      </c>
      <c r="CL68" s="2">
        <f t="shared" si="59"/>
        <v>0</v>
      </c>
      <c r="CM68" s="2">
        <f t="shared" si="59"/>
        <v>0</v>
      </c>
      <c r="CN68" s="2">
        <f t="shared" si="59"/>
        <v>0</v>
      </c>
      <c r="CO68" s="2">
        <f t="shared" si="59"/>
        <v>0</v>
      </c>
      <c r="CP68" s="2">
        <f t="shared" si="59"/>
        <v>0</v>
      </c>
      <c r="CQ68" s="2">
        <f t="shared" si="59"/>
        <v>0</v>
      </c>
      <c r="CR68" s="2">
        <f t="shared" si="59"/>
        <v>0</v>
      </c>
      <c r="CS68" s="2">
        <f t="shared" si="59"/>
        <v>0</v>
      </c>
      <c r="CT68" s="2">
        <f t="shared" si="59"/>
        <v>0</v>
      </c>
      <c r="CU68" s="2">
        <f t="shared" si="59"/>
        <v>0</v>
      </c>
      <c r="CV68" s="2">
        <f t="shared" si="59"/>
        <v>0</v>
      </c>
      <c r="CW68" s="2">
        <f t="shared" si="59"/>
        <v>0</v>
      </c>
      <c r="CX68" s="2">
        <f t="shared" si="59"/>
        <v>0</v>
      </c>
      <c r="CY68" s="2">
        <f t="shared" si="59"/>
        <v>0</v>
      </c>
      <c r="CZ68" s="2">
        <f t="shared" si="59"/>
        <v>0</v>
      </c>
      <c r="DA68" s="2">
        <f t="shared" si="59"/>
        <v>0</v>
      </c>
      <c r="DB68" s="2">
        <f t="shared" si="59"/>
        <v>0</v>
      </c>
      <c r="DC68" s="2">
        <f t="shared" si="59"/>
        <v>0</v>
      </c>
      <c r="DD68" s="2">
        <f t="shared" si="59"/>
        <v>0</v>
      </c>
      <c r="DE68" s="2">
        <f t="shared" si="59"/>
        <v>0</v>
      </c>
      <c r="DF68" s="2">
        <f t="shared" si="59"/>
        <v>0</v>
      </c>
      <c r="DG68" s="3">
        <f t="shared" ref="DG68:EL68" si="60">DG199</f>
        <v>0</v>
      </c>
      <c r="DH68" s="3">
        <f t="shared" si="60"/>
        <v>0</v>
      </c>
      <c r="DI68" s="3">
        <f t="shared" si="60"/>
        <v>0</v>
      </c>
      <c r="DJ68" s="3">
        <f t="shared" si="60"/>
        <v>0</v>
      </c>
      <c r="DK68" s="3">
        <f t="shared" si="60"/>
        <v>0</v>
      </c>
      <c r="DL68" s="3">
        <f t="shared" si="60"/>
        <v>0</v>
      </c>
      <c r="DM68" s="3">
        <f t="shared" si="60"/>
        <v>0</v>
      </c>
      <c r="DN68" s="3">
        <f t="shared" si="60"/>
        <v>0</v>
      </c>
      <c r="DO68" s="3">
        <f t="shared" si="60"/>
        <v>0</v>
      </c>
      <c r="DP68" s="3">
        <f t="shared" si="60"/>
        <v>0</v>
      </c>
      <c r="DQ68" s="3">
        <f t="shared" si="60"/>
        <v>0</v>
      </c>
      <c r="DR68" s="3">
        <f t="shared" si="60"/>
        <v>0</v>
      </c>
      <c r="DS68" s="3">
        <f t="shared" si="60"/>
        <v>0</v>
      </c>
      <c r="DT68" s="3">
        <f t="shared" si="60"/>
        <v>0</v>
      </c>
      <c r="DU68" s="3">
        <f t="shared" si="60"/>
        <v>0</v>
      </c>
      <c r="DV68" s="3">
        <f t="shared" si="60"/>
        <v>0</v>
      </c>
      <c r="DW68" s="3">
        <f t="shared" si="60"/>
        <v>0</v>
      </c>
      <c r="DX68" s="3">
        <f t="shared" si="60"/>
        <v>0</v>
      </c>
      <c r="DY68" s="3">
        <f t="shared" si="60"/>
        <v>0</v>
      </c>
      <c r="DZ68" s="3">
        <f t="shared" si="60"/>
        <v>0</v>
      </c>
      <c r="EA68" s="3">
        <f t="shared" si="60"/>
        <v>0</v>
      </c>
      <c r="EB68" s="3">
        <f t="shared" si="60"/>
        <v>0</v>
      </c>
      <c r="EC68" s="3">
        <f t="shared" si="60"/>
        <v>0</v>
      </c>
      <c r="ED68" s="3">
        <f t="shared" si="60"/>
        <v>0</v>
      </c>
      <c r="EE68" s="3">
        <f t="shared" si="60"/>
        <v>0</v>
      </c>
      <c r="EF68" s="3">
        <f t="shared" si="60"/>
        <v>0</v>
      </c>
      <c r="EG68" s="3">
        <f t="shared" si="60"/>
        <v>0</v>
      </c>
      <c r="EH68" s="3">
        <f t="shared" si="60"/>
        <v>0</v>
      </c>
      <c r="EI68" s="3">
        <f t="shared" si="60"/>
        <v>0</v>
      </c>
      <c r="EJ68" s="3">
        <f t="shared" si="60"/>
        <v>0</v>
      </c>
      <c r="EK68" s="3">
        <f t="shared" si="60"/>
        <v>0</v>
      </c>
      <c r="EL68" s="3">
        <f t="shared" si="60"/>
        <v>0</v>
      </c>
      <c r="EM68" s="3">
        <f t="shared" ref="EM68:FR68" si="61">EM199</f>
        <v>0</v>
      </c>
      <c r="EN68" s="3">
        <f t="shared" si="61"/>
        <v>0</v>
      </c>
      <c r="EO68" s="3">
        <f t="shared" si="61"/>
        <v>0</v>
      </c>
      <c r="EP68" s="3">
        <f t="shared" si="61"/>
        <v>0</v>
      </c>
      <c r="EQ68" s="3">
        <f t="shared" si="61"/>
        <v>0</v>
      </c>
      <c r="ER68" s="3">
        <f t="shared" si="61"/>
        <v>0</v>
      </c>
      <c r="ES68" s="3">
        <f t="shared" si="61"/>
        <v>0</v>
      </c>
      <c r="ET68" s="3">
        <f t="shared" si="61"/>
        <v>0</v>
      </c>
      <c r="EU68" s="3">
        <f t="shared" si="61"/>
        <v>0</v>
      </c>
      <c r="EV68" s="3">
        <f t="shared" si="61"/>
        <v>0</v>
      </c>
      <c r="EW68" s="3">
        <f t="shared" si="61"/>
        <v>0</v>
      </c>
      <c r="EX68" s="3">
        <f t="shared" si="61"/>
        <v>0</v>
      </c>
      <c r="EY68" s="3">
        <f t="shared" si="61"/>
        <v>0</v>
      </c>
      <c r="EZ68" s="3">
        <f t="shared" si="61"/>
        <v>0</v>
      </c>
      <c r="FA68" s="3">
        <f t="shared" si="61"/>
        <v>0</v>
      </c>
      <c r="FB68" s="3">
        <f t="shared" si="61"/>
        <v>0</v>
      </c>
      <c r="FC68" s="3">
        <f t="shared" si="61"/>
        <v>0</v>
      </c>
      <c r="FD68" s="3">
        <f t="shared" si="61"/>
        <v>0</v>
      </c>
      <c r="FE68" s="3">
        <f t="shared" si="61"/>
        <v>0</v>
      </c>
      <c r="FF68" s="3">
        <f t="shared" si="61"/>
        <v>0</v>
      </c>
      <c r="FG68" s="3">
        <f t="shared" si="61"/>
        <v>0</v>
      </c>
      <c r="FH68" s="3">
        <f t="shared" si="61"/>
        <v>0</v>
      </c>
      <c r="FI68" s="3">
        <f t="shared" si="61"/>
        <v>0</v>
      </c>
      <c r="FJ68" s="3">
        <f t="shared" si="61"/>
        <v>0</v>
      </c>
      <c r="FK68" s="3">
        <f t="shared" si="61"/>
        <v>0</v>
      </c>
      <c r="FL68" s="3">
        <f t="shared" si="61"/>
        <v>0</v>
      </c>
      <c r="FM68" s="3">
        <f t="shared" si="61"/>
        <v>0</v>
      </c>
      <c r="FN68" s="3">
        <f t="shared" si="61"/>
        <v>0</v>
      </c>
      <c r="FO68" s="3">
        <f t="shared" si="61"/>
        <v>0</v>
      </c>
      <c r="FP68" s="3">
        <f t="shared" si="61"/>
        <v>0</v>
      </c>
      <c r="FQ68" s="3">
        <f t="shared" si="61"/>
        <v>0</v>
      </c>
      <c r="FR68" s="3">
        <f t="shared" si="61"/>
        <v>0</v>
      </c>
      <c r="FS68" s="3">
        <f t="shared" ref="FS68:GX68" si="62">FS199</f>
        <v>0</v>
      </c>
      <c r="FT68" s="3">
        <f t="shared" si="62"/>
        <v>0</v>
      </c>
      <c r="FU68" s="3">
        <f t="shared" si="62"/>
        <v>0</v>
      </c>
      <c r="FV68" s="3">
        <f t="shared" si="62"/>
        <v>0</v>
      </c>
      <c r="FW68" s="3">
        <f t="shared" si="62"/>
        <v>0</v>
      </c>
      <c r="FX68" s="3">
        <f t="shared" si="62"/>
        <v>0</v>
      </c>
      <c r="FY68" s="3">
        <f t="shared" si="62"/>
        <v>0</v>
      </c>
      <c r="FZ68" s="3">
        <f t="shared" si="62"/>
        <v>0</v>
      </c>
      <c r="GA68" s="3">
        <f t="shared" si="62"/>
        <v>0</v>
      </c>
      <c r="GB68" s="3">
        <f t="shared" si="62"/>
        <v>0</v>
      </c>
      <c r="GC68" s="3">
        <f t="shared" si="62"/>
        <v>0</v>
      </c>
      <c r="GD68" s="3">
        <f t="shared" si="62"/>
        <v>0</v>
      </c>
      <c r="GE68" s="3">
        <f t="shared" si="62"/>
        <v>0</v>
      </c>
      <c r="GF68" s="3">
        <f t="shared" si="62"/>
        <v>0</v>
      </c>
      <c r="GG68" s="3">
        <f t="shared" si="62"/>
        <v>0</v>
      </c>
      <c r="GH68" s="3">
        <f t="shared" si="62"/>
        <v>0</v>
      </c>
      <c r="GI68" s="3">
        <f t="shared" si="62"/>
        <v>0</v>
      </c>
      <c r="GJ68" s="3">
        <f t="shared" si="62"/>
        <v>0</v>
      </c>
      <c r="GK68" s="3">
        <f t="shared" si="62"/>
        <v>0</v>
      </c>
      <c r="GL68" s="3">
        <f t="shared" si="62"/>
        <v>0</v>
      </c>
      <c r="GM68" s="3">
        <f t="shared" si="62"/>
        <v>0</v>
      </c>
      <c r="GN68" s="3">
        <f t="shared" si="62"/>
        <v>0</v>
      </c>
      <c r="GO68" s="3">
        <f t="shared" si="62"/>
        <v>0</v>
      </c>
      <c r="GP68" s="3">
        <f t="shared" si="62"/>
        <v>0</v>
      </c>
      <c r="GQ68" s="3">
        <f t="shared" si="62"/>
        <v>0</v>
      </c>
      <c r="GR68" s="3">
        <f t="shared" si="62"/>
        <v>0</v>
      </c>
      <c r="GS68" s="3">
        <f t="shared" si="62"/>
        <v>0</v>
      </c>
      <c r="GT68" s="3">
        <f t="shared" si="62"/>
        <v>0</v>
      </c>
      <c r="GU68" s="3">
        <f t="shared" si="62"/>
        <v>0</v>
      </c>
      <c r="GV68" s="3">
        <f t="shared" si="62"/>
        <v>0</v>
      </c>
      <c r="GW68" s="3">
        <f t="shared" si="62"/>
        <v>0</v>
      </c>
      <c r="GX68" s="3">
        <f t="shared" si="62"/>
        <v>0</v>
      </c>
    </row>
    <row r="70" spans="1:245" x14ac:dyDescent="0.2">
      <c r="A70" s="1">
        <v>5</v>
      </c>
      <c r="B70" s="1">
        <v>1</v>
      </c>
      <c r="C70" s="1"/>
      <c r="D70" s="1">
        <f>ROW(A77)</f>
        <v>77</v>
      </c>
      <c r="E70" s="1"/>
      <c r="F70" s="1" t="s">
        <v>100</v>
      </c>
      <c r="G70" s="1" t="s">
        <v>101</v>
      </c>
      <c r="H70" s="1" t="s">
        <v>3</v>
      </c>
      <c r="I70" s="1">
        <v>0</v>
      </c>
      <c r="J70" s="1"/>
      <c r="K70" s="1">
        <v>-1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3</v>
      </c>
      <c r="BE70" s="1" t="s">
        <v>3</v>
      </c>
      <c r="BF70" s="1" t="s">
        <v>3</v>
      </c>
      <c r="BG70" s="1" t="s">
        <v>3</v>
      </c>
      <c r="BH70" s="1" t="s">
        <v>3</v>
      </c>
      <c r="BI70" s="1" t="s">
        <v>3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3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63">B77</f>
        <v>1</v>
      </c>
      <c r="C72" s="2">
        <f t="shared" si="63"/>
        <v>5</v>
      </c>
      <c r="D72" s="2">
        <f t="shared" si="63"/>
        <v>70</v>
      </c>
      <c r="E72" s="2">
        <f t="shared" si="63"/>
        <v>0</v>
      </c>
      <c r="F72" s="2" t="str">
        <f t="shared" si="63"/>
        <v>Новый подраздел</v>
      </c>
      <c r="G72" s="2" t="str">
        <f t="shared" si="63"/>
        <v>2.1 Отопление</v>
      </c>
      <c r="H72" s="2"/>
      <c r="I72" s="2"/>
      <c r="J72" s="2"/>
      <c r="K72" s="2"/>
      <c r="L72" s="2"/>
      <c r="M72" s="2"/>
      <c r="N72" s="2"/>
      <c r="O72" s="2">
        <f t="shared" ref="O72:AT72" si="64">O77</f>
        <v>4636.45</v>
      </c>
      <c r="P72" s="2">
        <f t="shared" si="64"/>
        <v>10.08</v>
      </c>
      <c r="Q72" s="2">
        <f t="shared" si="64"/>
        <v>3085.54</v>
      </c>
      <c r="R72" s="2">
        <f t="shared" si="64"/>
        <v>1956.45</v>
      </c>
      <c r="S72" s="2">
        <f t="shared" si="64"/>
        <v>1540.83</v>
      </c>
      <c r="T72" s="2">
        <f t="shared" si="64"/>
        <v>0</v>
      </c>
      <c r="U72" s="2">
        <f t="shared" si="64"/>
        <v>3.04</v>
      </c>
      <c r="V72" s="2">
        <f t="shared" si="64"/>
        <v>0</v>
      </c>
      <c r="W72" s="2">
        <f t="shared" si="64"/>
        <v>0</v>
      </c>
      <c r="X72" s="2">
        <f t="shared" si="64"/>
        <v>1078.58</v>
      </c>
      <c r="Y72" s="2">
        <f t="shared" si="64"/>
        <v>154.08000000000001</v>
      </c>
      <c r="Z72" s="2">
        <f t="shared" si="64"/>
        <v>0</v>
      </c>
      <c r="AA72" s="2">
        <f t="shared" si="64"/>
        <v>0</v>
      </c>
      <c r="AB72" s="2">
        <f t="shared" si="64"/>
        <v>4636.45</v>
      </c>
      <c r="AC72" s="2">
        <f t="shared" si="64"/>
        <v>10.08</v>
      </c>
      <c r="AD72" s="2">
        <f t="shared" si="64"/>
        <v>3085.54</v>
      </c>
      <c r="AE72" s="2">
        <f t="shared" si="64"/>
        <v>1956.45</v>
      </c>
      <c r="AF72" s="2">
        <f t="shared" si="64"/>
        <v>1540.83</v>
      </c>
      <c r="AG72" s="2">
        <f t="shared" si="64"/>
        <v>0</v>
      </c>
      <c r="AH72" s="2">
        <f t="shared" si="64"/>
        <v>3.04</v>
      </c>
      <c r="AI72" s="2">
        <f t="shared" si="64"/>
        <v>0</v>
      </c>
      <c r="AJ72" s="2">
        <f t="shared" si="64"/>
        <v>0</v>
      </c>
      <c r="AK72" s="2">
        <f t="shared" si="64"/>
        <v>1078.58</v>
      </c>
      <c r="AL72" s="2">
        <f t="shared" si="64"/>
        <v>154.08000000000001</v>
      </c>
      <c r="AM72" s="2">
        <f t="shared" si="64"/>
        <v>0</v>
      </c>
      <c r="AN72" s="2">
        <f t="shared" si="64"/>
        <v>0</v>
      </c>
      <c r="AO72" s="2">
        <f t="shared" si="64"/>
        <v>0</v>
      </c>
      <c r="AP72" s="2">
        <f t="shared" si="64"/>
        <v>0</v>
      </c>
      <c r="AQ72" s="2">
        <f t="shared" si="64"/>
        <v>0</v>
      </c>
      <c r="AR72" s="2">
        <f t="shared" si="64"/>
        <v>7982.08</v>
      </c>
      <c r="AS72" s="2">
        <f t="shared" si="64"/>
        <v>0</v>
      </c>
      <c r="AT72" s="2">
        <f t="shared" si="64"/>
        <v>0</v>
      </c>
      <c r="AU72" s="2">
        <f t="shared" ref="AU72:BZ72" si="65">AU77</f>
        <v>7982.08</v>
      </c>
      <c r="AV72" s="2">
        <f t="shared" si="65"/>
        <v>10.08</v>
      </c>
      <c r="AW72" s="2">
        <f t="shared" si="65"/>
        <v>10.08</v>
      </c>
      <c r="AX72" s="2">
        <f t="shared" si="65"/>
        <v>0</v>
      </c>
      <c r="AY72" s="2">
        <f t="shared" si="65"/>
        <v>10.08</v>
      </c>
      <c r="AZ72" s="2">
        <f t="shared" si="65"/>
        <v>0</v>
      </c>
      <c r="BA72" s="2">
        <f t="shared" si="65"/>
        <v>0</v>
      </c>
      <c r="BB72" s="2">
        <f t="shared" si="65"/>
        <v>0</v>
      </c>
      <c r="BC72" s="2">
        <f t="shared" si="65"/>
        <v>0</v>
      </c>
      <c r="BD72" s="2">
        <f t="shared" si="65"/>
        <v>0</v>
      </c>
      <c r="BE72" s="2">
        <f t="shared" si="65"/>
        <v>0</v>
      </c>
      <c r="BF72" s="2">
        <f t="shared" si="65"/>
        <v>0</v>
      </c>
      <c r="BG72" s="2">
        <f t="shared" si="65"/>
        <v>0</v>
      </c>
      <c r="BH72" s="2">
        <f t="shared" si="65"/>
        <v>0</v>
      </c>
      <c r="BI72" s="2">
        <f t="shared" si="65"/>
        <v>0</v>
      </c>
      <c r="BJ72" s="2">
        <f t="shared" si="65"/>
        <v>0</v>
      </c>
      <c r="BK72" s="2">
        <f t="shared" si="65"/>
        <v>0</v>
      </c>
      <c r="BL72" s="2">
        <f t="shared" si="65"/>
        <v>0</v>
      </c>
      <c r="BM72" s="2">
        <f t="shared" si="65"/>
        <v>0</v>
      </c>
      <c r="BN72" s="2">
        <f t="shared" si="65"/>
        <v>0</v>
      </c>
      <c r="BO72" s="2">
        <f t="shared" si="65"/>
        <v>0</v>
      </c>
      <c r="BP72" s="2">
        <f t="shared" si="65"/>
        <v>0</v>
      </c>
      <c r="BQ72" s="2">
        <f t="shared" si="65"/>
        <v>0</v>
      </c>
      <c r="BR72" s="2">
        <f t="shared" si="65"/>
        <v>0</v>
      </c>
      <c r="BS72" s="2">
        <f t="shared" si="65"/>
        <v>0</v>
      </c>
      <c r="BT72" s="2">
        <f t="shared" si="65"/>
        <v>0</v>
      </c>
      <c r="BU72" s="2">
        <f t="shared" si="65"/>
        <v>0</v>
      </c>
      <c r="BV72" s="2">
        <f t="shared" si="65"/>
        <v>0</v>
      </c>
      <c r="BW72" s="2">
        <f t="shared" si="65"/>
        <v>0</v>
      </c>
      <c r="BX72" s="2">
        <f t="shared" si="65"/>
        <v>0</v>
      </c>
      <c r="BY72" s="2">
        <f t="shared" si="65"/>
        <v>0</v>
      </c>
      <c r="BZ72" s="2">
        <f t="shared" si="65"/>
        <v>0</v>
      </c>
      <c r="CA72" s="2">
        <f t="shared" ref="CA72:DF72" si="66">CA77</f>
        <v>7982.08</v>
      </c>
      <c r="CB72" s="2">
        <f t="shared" si="66"/>
        <v>0</v>
      </c>
      <c r="CC72" s="2">
        <f t="shared" si="66"/>
        <v>0</v>
      </c>
      <c r="CD72" s="2">
        <f t="shared" si="66"/>
        <v>7982.08</v>
      </c>
      <c r="CE72" s="2">
        <f t="shared" si="66"/>
        <v>10.08</v>
      </c>
      <c r="CF72" s="2">
        <f t="shared" si="66"/>
        <v>10.08</v>
      </c>
      <c r="CG72" s="2">
        <f t="shared" si="66"/>
        <v>0</v>
      </c>
      <c r="CH72" s="2">
        <f t="shared" si="66"/>
        <v>10.08</v>
      </c>
      <c r="CI72" s="2">
        <f t="shared" si="66"/>
        <v>0</v>
      </c>
      <c r="CJ72" s="2">
        <f t="shared" si="66"/>
        <v>0</v>
      </c>
      <c r="CK72" s="2">
        <f t="shared" si="66"/>
        <v>0</v>
      </c>
      <c r="CL72" s="2">
        <f t="shared" si="66"/>
        <v>0</v>
      </c>
      <c r="CM72" s="2">
        <f t="shared" si="66"/>
        <v>0</v>
      </c>
      <c r="CN72" s="2">
        <f t="shared" si="66"/>
        <v>0</v>
      </c>
      <c r="CO72" s="2">
        <f t="shared" si="66"/>
        <v>0</v>
      </c>
      <c r="CP72" s="2">
        <f t="shared" si="66"/>
        <v>0</v>
      </c>
      <c r="CQ72" s="2">
        <f t="shared" si="66"/>
        <v>0</v>
      </c>
      <c r="CR72" s="2">
        <f t="shared" si="66"/>
        <v>0</v>
      </c>
      <c r="CS72" s="2">
        <f t="shared" si="66"/>
        <v>0</v>
      </c>
      <c r="CT72" s="2">
        <f t="shared" si="66"/>
        <v>0</v>
      </c>
      <c r="CU72" s="2">
        <f t="shared" si="66"/>
        <v>0</v>
      </c>
      <c r="CV72" s="2">
        <f t="shared" si="66"/>
        <v>0</v>
      </c>
      <c r="CW72" s="2">
        <f t="shared" si="66"/>
        <v>0</v>
      </c>
      <c r="CX72" s="2">
        <f t="shared" si="66"/>
        <v>0</v>
      </c>
      <c r="CY72" s="2">
        <f t="shared" si="66"/>
        <v>0</v>
      </c>
      <c r="CZ72" s="2">
        <f t="shared" si="66"/>
        <v>0</v>
      </c>
      <c r="DA72" s="2">
        <f t="shared" si="66"/>
        <v>0</v>
      </c>
      <c r="DB72" s="2">
        <f t="shared" si="66"/>
        <v>0</v>
      </c>
      <c r="DC72" s="2">
        <f t="shared" si="66"/>
        <v>0</v>
      </c>
      <c r="DD72" s="2">
        <f t="shared" si="66"/>
        <v>0</v>
      </c>
      <c r="DE72" s="2">
        <f t="shared" si="66"/>
        <v>0</v>
      </c>
      <c r="DF72" s="2">
        <f t="shared" si="66"/>
        <v>0</v>
      </c>
      <c r="DG72" s="3">
        <f t="shared" ref="DG72:EL72" si="67">DG77</f>
        <v>0</v>
      </c>
      <c r="DH72" s="3">
        <f t="shared" si="67"/>
        <v>0</v>
      </c>
      <c r="DI72" s="3">
        <f t="shared" si="67"/>
        <v>0</v>
      </c>
      <c r="DJ72" s="3">
        <f t="shared" si="67"/>
        <v>0</v>
      </c>
      <c r="DK72" s="3">
        <f t="shared" si="67"/>
        <v>0</v>
      </c>
      <c r="DL72" s="3">
        <f t="shared" si="67"/>
        <v>0</v>
      </c>
      <c r="DM72" s="3">
        <f t="shared" si="67"/>
        <v>0</v>
      </c>
      <c r="DN72" s="3">
        <f t="shared" si="67"/>
        <v>0</v>
      </c>
      <c r="DO72" s="3">
        <f t="shared" si="67"/>
        <v>0</v>
      </c>
      <c r="DP72" s="3">
        <f t="shared" si="67"/>
        <v>0</v>
      </c>
      <c r="DQ72" s="3">
        <f t="shared" si="67"/>
        <v>0</v>
      </c>
      <c r="DR72" s="3">
        <f t="shared" si="67"/>
        <v>0</v>
      </c>
      <c r="DS72" s="3">
        <f t="shared" si="67"/>
        <v>0</v>
      </c>
      <c r="DT72" s="3">
        <f t="shared" si="67"/>
        <v>0</v>
      </c>
      <c r="DU72" s="3">
        <f t="shared" si="67"/>
        <v>0</v>
      </c>
      <c r="DV72" s="3">
        <f t="shared" si="67"/>
        <v>0</v>
      </c>
      <c r="DW72" s="3">
        <f t="shared" si="67"/>
        <v>0</v>
      </c>
      <c r="DX72" s="3">
        <f t="shared" si="67"/>
        <v>0</v>
      </c>
      <c r="DY72" s="3">
        <f t="shared" si="67"/>
        <v>0</v>
      </c>
      <c r="DZ72" s="3">
        <f t="shared" si="67"/>
        <v>0</v>
      </c>
      <c r="EA72" s="3">
        <f t="shared" si="67"/>
        <v>0</v>
      </c>
      <c r="EB72" s="3">
        <f t="shared" si="67"/>
        <v>0</v>
      </c>
      <c r="EC72" s="3">
        <f t="shared" si="67"/>
        <v>0</v>
      </c>
      <c r="ED72" s="3">
        <f t="shared" si="67"/>
        <v>0</v>
      </c>
      <c r="EE72" s="3">
        <f t="shared" si="67"/>
        <v>0</v>
      </c>
      <c r="EF72" s="3">
        <f t="shared" si="67"/>
        <v>0</v>
      </c>
      <c r="EG72" s="3">
        <f t="shared" si="67"/>
        <v>0</v>
      </c>
      <c r="EH72" s="3">
        <f t="shared" si="67"/>
        <v>0</v>
      </c>
      <c r="EI72" s="3">
        <f t="shared" si="67"/>
        <v>0</v>
      </c>
      <c r="EJ72" s="3">
        <f t="shared" si="67"/>
        <v>0</v>
      </c>
      <c r="EK72" s="3">
        <f t="shared" si="67"/>
        <v>0</v>
      </c>
      <c r="EL72" s="3">
        <f t="shared" si="67"/>
        <v>0</v>
      </c>
      <c r="EM72" s="3">
        <f t="shared" ref="EM72:FR72" si="68">EM77</f>
        <v>0</v>
      </c>
      <c r="EN72" s="3">
        <f t="shared" si="68"/>
        <v>0</v>
      </c>
      <c r="EO72" s="3">
        <f t="shared" si="68"/>
        <v>0</v>
      </c>
      <c r="EP72" s="3">
        <f t="shared" si="68"/>
        <v>0</v>
      </c>
      <c r="EQ72" s="3">
        <f t="shared" si="68"/>
        <v>0</v>
      </c>
      <c r="ER72" s="3">
        <f t="shared" si="68"/>
        <v>0</v>
      </c>
      <c r="ES72" s="3">
        <f t="shared" si="68"/>
        <v>0</v>
      </c>
      <c r="ET72" s="3">
        <f t="shared" si="68"/>
        <v>0</v>
      </c>
      <c r="EU72" s="3">
        <f t="shared" si="68"/>
        <v>0</v>
      </c>
      <c r="EV72" s="3">
        <f t="shared" si="68"/>
        <v>0</v>
      </c>
      <c r="EW72" s="3">
        <f t="shared" si="68"/>
        <v>0</v>
      </c>
      <c r="EX72" s="3">
        <f t="shared" si="68"/>
        <v>0</v>
      </c>
      <c r="EY72" s="3">
        <f t="shared" si="68"/>
        <v>0</v>
      </c>
      <c r="EZ72" s="3">
        <f t="shared" si="68"/>
        <v>0</v>
      </c>
      <c r="FA72" s="3">
        <f t="shared" si="68"/>
        <v>0</v>
      </c>
      <c r="FB72" s="3">
        <f t="shared" si="68"/>
        <v>0</v>
      </c>
      <c r="FC72" s="3">
        <f t="shared" si="68"/>
        <v>0</v>
      </c>
      <c r="FD72" s="3">
        <f t="shared" si="68"/>
        <v>0</v>
      </c>
      <c r="FE72" s="3">
        <f t="shared" si="68"/>
        <v>0</v>
      </c>
      <c r="FF72" s="3">
        <f t="shared" si="68"/>
        <v>0</v>
      </c>
      <c r="FG72" s="3">
        <f t="shared" si="68"/>
        <v>0</v>
      </c>
      <c r="FH72" s="3">
        <f t="shared" si="68"/>
        <v>0</v>
      </c>
      <c r="FI72" s="3">
        <f t="shared" si="68"/>
        <v>0</v>
      </c>
      <c r="FJ72" s="3">
        <f t="shared" si="68"/>
        <v>0</v>
      </c>
      <c r="FK72" s="3">
        <f t="shared" si="68"/>
        <v>0</v>
      </c>
      <c r="FL72" s="3">
        <f t="shared" si="68"/>
        <v>0</v>
      </c>
      <c r="FM72" s="3">
        <f t="shared" si="68"/>
        <v>0</v>
      </c>
      <c r="FN72" s="3">
        <f t="shared" si="68"/>
        <v>0</v>
      </c>
      <c r="FO72" s="3">
        <f t="shared" si="68"/>
        <v>0</v>
      </c>
      <c r="FP72" s="3">
        <f t="shared" si="68"/>
        <v>0</v>
      </c>
      <c r="FQ72" s="3">
        <f t="shared" si="68"/>
        <v>0</v>
      </c>
      <c r="FR72" s="3">
        <f t="shared" si="68"/>
        <v>0</v>
      </c>
      <c r="FS72" s="3">
        <f t="shared" ref="FS72:GX72" si="69">FS77</f>
        <v>0</v>
      </c>
      <c r="FT72" s="3">
        <f t="shared" si="69"/>
        <v>0</v>
      </c>
      <c r="FU72" s="3">
        <f t="shared" si="69"/>
        <v>0</v>
      </c>
      <c r="FV72" s="3">
        <f t="shared" si="69"/>
        <v>0</v>
      </c>
      <c r="FW72" s="3">
        <f t="shared" si="69"/>
        <v>0</v>
      </c>
      <c r="FX72" s="3">
        <f t="shared" si="69"/>
        <v>0</v>
      </c>
      <c r="FY72" s="3">
        <f t="shared" si="69"/>
        <v>0</v>
      </c>
      <c r="FZ72" s="3">
        <f t="shared" si="69"/>
        <v>0</v>
      </c>
      <c r="GA72" s="3">
        <f t="shared" si="69"/>
        <v>0</v>
      </c>
      <c r="GB72" s="3">
        <f t="shared" si="69"/>
        <v>0</v>
      </c>
      <c r="GC72" s="3">
        <f t="shared" si="69"/>
        <v>0</v>
      </c>
      <c r="GD72" s="3">
        <f t="shared" si="69"/>
        <v>0</v>
      </c>
      <c r="GE72" s="3">
        <f t="shared" si="69"/>
        <v>0</v>
      </c>
      <c r="GF72" s="3">
        <f t="shared" si="69"/>
        <v>0</v>
      </c>
      <c r="GG72" s="3">
        <f t="shared" si="69"/>
        <v>0</v>
      </c>
      <c r="GH72" s="3">
        <f t="shared" si="69"/>
        <v>0</v>
      </c>
      <c r="GI72" s="3">
        <f t="shared" si="69"/>
        <v>0</v>
      </c>
      <c r="GJ72" s="3">
        <f t="shared" si="69"/>
        <v>0</v>
      </c>
      <c r="GK72" s="3">
        <f t="shared" si="69"/>
        <v>0</v>
      </c>
      <c r="GL72" s="3">
        <f t="shared" si="69"/>
        <v>0</v>
      </c>
      <c r="GM72" s="3">
        <f t="shared" si="69"/>
        <v>0</v>
      </c>
      <c r="GN72" s="3">
        <f t="shared" si="69"/>
        <v>0</v>
      </c>
      <c r="GO72" s="3">
        <f t="shared" si="69"/>
        <v>0</v>
      </c>
      <c r="GP72" s="3">
        <f t="shared" si="69"/>
        <v>0</v>
      </c>
      <c r="GQ72" s="3">
        <f t="shared" si="69"/>
        <v>0</v>
      </c>
      <c r="GR72" s="3">
        <f t="shared" si="69"/>
        <v>0</v>
      </c>
      <c r="GS72" s="3">
        <f t="shared" si="69"/>
        <v>0</v>
      </c>
      <c r="GT72" s="3">
        <f t="shared" si="69"/>
        <v>0</v>
      </c>
      <c r="GU72" s="3">
        <f t="shared" si="69"/>
        <v>0</v>
      </c>
      <c r="GV72" s="3">
        <f t="shared" si="69"/>
        <v>0</v>
      </c>
      <c r="GW72" s="3">
        <f t="shared" si="69"/>
        <v>0</v>
      </c>
      <c r="GX72" s="3">
        <f t="shared" si="69"/>
        <v>0</v>
      </c>
    </row>
    <row r="74" spans="1:245" x14ac:dyDescent="0.2">
      <c r="A74">
        <v>17</v>
      </c>
      <c r="B74">
        <v>1</v>
      </c>
      <c r="D74">
        <f>ROW(EtalonRes!A23)</f>
        <v>23</v>
      </c>
      <c r="E74" t="s">
        <v>3</v>
      </c>
      <c r="F74" t="s">
        <v>102</v>
      </c>
      <c r="G74" t="s">
        <v>103</v>
      </c>
      <c r="H74" t="s">
        <v>104</v>
      </c>
      <c r="I74">
        <v>1</v>
      </c>
      <c r="J74">
        <v>0</v>
      </c>
      <c r="K74">
        <v>1</v>
      </c>
      <c r="O74">
        <f>ROUND(CP74,2)</f>
        <v>149391.22</v>
      </c>
      <c r="P74">
        <f>ROUND(CQ74*I74,2)</f>
        <v>8336.23</v>
      </c>
      <c r="Q74">
        <f>ROUND(CR74*I74,2)</f>
        <v>0</v>
      </c>
      <c r="R74">
        <f>ROUND(CS74*I74,2)</f>
        <v>0</v>
      </c>
      <c r="S74">
        <f>ROUND(CT74*I74,2)</f>
        <v>141054.99</v>
      </c>
      <c r="T74">
        <f>ROUND(CU74*I74,2)</f>
        <v>0</v>
      </c>
      <c r="U74">
        <f>CV74*I74</f>
        <v>212.56666666666669</v>
      </c>
      <c r="V74">
        <f>CW74*I74</f>
        <v>0</v>
      </c>
      <c r="W74">
        <f>ROUND(CX74*I74,2)</f>
        <v>0</v>
      </c>
      <c r="X74">
        <f>ROUND(CY74,2)</f>
        <v>98738.49</v>
      </c>
      <c r="Y74">
        <f>ROUND(CZ74,2)</f>
        <v>14105.5</v>
      </c>
      <c r="AA74">
        <v>-1</v>
      </c>
      <c r="AB74">
        <f>ROUND((AC74+AD74+AF74),6)</f>
        <v>149391.223333</v>
      </c>
      <c r="AC74">
        <f>ROUND((((ES74/12)*4)),6)</f>
        <v>8336.23</v>
      </c>
      <c r="AD74">
        <f>ROUND((((((ET74/12)*4))-(((EU74/12)*4)))+AE74),6)</f>
        <v>0</v>
      </c>
      <c r="AE74">
        <f>ROUND((((EU74/12)*4)),6)</f>
        <v>0</v>
      </c>
      <c r="AF74">
        <f>ROUND((((EV74/12)*4)),6)</f>
        <v>141054.99333299999</v>
      </c>
      <c r="AG74">
        <f>ROUND((AP74),6)</f>
        <v>0</v>
      </c>
      <c r="AH74">
        <f>(((EW74/12)*4))</f>
        <v>212.56666666666669</v>
      </c>
      <c r="AI74">
        <f>(((EX74/12)*4))</f>
        <v>0</v>
      </c>
      <c r="AJ74">
        <f>(AS74)</f>
        <v>0</v>
      </c>
      <c r="AK74">
        <v>448173.67</v>
      </c>
      <c r="AL74">
        <v>25008.69</v>
      </c>
      <c r="AM74">
        <v>0</v>
      </c>
      <c r="AN74">
        <v>0</v>
      </c>
      <c r="AO74">
        <v>423164.98</v>
      </c>
      <c r="AP74">
        <v>0</v>
      </c>
      <c r="AQ74">
        <v>637.70000000000005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105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149391.22</v>
      </c>
      <c r="CQ74">
        <f>(AC74*BC74*AW74)</f>
        <v>8336.23</v>
      </c>
      <c r="CR74">
        <f>((((((ET74/12)*4))*BB74-(((EU74/12)*4))*BS74)+AE74*BS74)*AV74)</f>
        <v>0</v>
      </c>
      <c r="CS74">
        <f>(AE74*BS74*AV74)</f>
        <v>0</v>
      </c>
      <c r="CT74">
        <f>(AF74*BA74*AV74)</f>
        <v>141054.99333299999</v>
      </c>
      <c r="CU74">
        <f>AG74</f>
        <v>0</v>
      </c>
      <c r="CV74">
        <f>(AH74*AV74)</f>
        <v>212.56666666666669</v>
      </c>
      <c r="CW74">
        <f>AI74</f>
        <v>0</v>
      </c>
      <c r="CX74">
        <f>AJ74</f>
        <v>0</v>
      </c>
      <c r="CY74">
        <f>((S74*BZ74)/100)</f>
        <v>98738.492999999988</v>
      </c>
      <c r="CZ74">
        <f>((S74*CA74)/100)</f>
        <v>14105.499</v>
      </c>
      <c r="DC74" t="s">
        <v>3</v>
      </c>
      <c r="DD74" t="s">
        <v>106</v>
      </c>
      <c r="DE74" t="s">
        <v>106</v>
      </c>
      <c r="DF74" t="s">
        <v>106</v>
      </c>
      <c r="DG74" t="s">
        <v>106</v>
      </c>
      <c r="DH74" t="s">
        <v>3</v>
      </c>
      <c r="DI74" t="s">
        <v>106</v>
      </c>
      <c r="DJ74" t="s">
        <v>106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104</v>
      </c>
      <c r="DW74" t="s">
        <v>104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19</v>
      </c>
      <c r="EH74">
        <v>0</v>
      </c>
      <c r="EI74" t="s">
        <v>3</v>
      </c>
      <c r="EJ74">
        <v>4</v>
      </c>
      <c r="EK74">
        <v>0</v>
      </c>
      <c r="EL74" t="s">
        <v>20</v>
      </c>
      <c r="EM74" t="s">
        <v>21</v>
      </c>
      <c r="EO74" t="s">
        <v>3</v>
      </c>
      <c r="EQ74">
        <v>1311744</v>
      </c>
      <c r="ER74">
        <v>448173.67</v>
      </c>
      <c r="ES74">
        <v>25008.69</v>
      </c>
      <c r="ET74">
        <v>0</v>
      </c>
      <c r="EU74">
        <v>0</v>
      </c>
      <c r="EV74">
        <v>423164.98</v>
      </c>
      <c r="EW74">
        <v>637.70000000000005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-441925134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262235.21000000002</v>
      </c>
      <c r="GN74">
        <f>IF(OR(BI74=0,BI74=1),GM74-GX74,0)</f>
        <v>0</v>
      </c>
      <c r="GO74">
        <f>IF(BI74=2,GM74-GX74,0)</f>
        <v>0</v>
      </c>
      <c r="GP74">
        <f>IF(BI74=4,GM74-GX74,0)</f>
        <v>262235.21000000002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1</v>
      </c>
      <c r="D75">
        <f>ROW(EtalonRes!A26)</f>
        <v>26</v>
      </c>
      <c r="E75" t="s">
        <v>107</v>
      </c>
      <c r="F75" t="s">
        <v>108</v>
      </c>
      <c r="G75" t="s">
        <v>109</v>
      </c>
      <c r="H75" t="s">
        <v>40</v>
      </c>
      <c r="I75">
        <f>ROUND(32/10,9)</f>
        <v>3.2</v>
      </c>
      <c r="J75">
        <v>0</v>
      </c>
      <c r="K75">
        <f>ROUND(32/10,9)</f>
        <v>3.2</v>
      </c>
      <c r="O75">
        <f>ROUND(CP75,2)</f>
        <v>4636.45</v>
      </c>
      <c r="P75">
        <f>ROUND(CQ75*I75,2)</f>
        <v>10.08</v>
      </c>
      <c r="Q75">
        <f>ROUND(CR75*I75,2)</f>
        <v>3085.54</v>
      </c>
      <c r="R75">
        <f>ROUND(CS75*I75,2)</f>
        <v>1956.45</v>
      </c>
      <c r="S75">
        <f>ROUND(CT75*I75,2)</f>
        <v>1540.83</v>
      </c>
      <c r="T75">
        <f>ROUND(CU75*I75,2)</f>
        <v>0</v>
      </c>
      <c r="U75">
        <f>CV75*I75</f>
        <v>3.04</v>
      </c>
      <c r="V75">
        <f>CW75*I75</f>
        <v>0</v>
      </c>
      <c r="W75">
        <f>ROUND(CX75*I75,2)</f>
        <v>0</v>
      </c>
      <c r="X75">
        <f>ROUND(CY75,2)</f>
        <v>1078.58</v>
      </c>
      <c r="Y75">
        <f>ROUND(CZ75,2)</f>
        <v>154.08000000000001</v>
      </c>
      <c r="AA75">
        <v>1471988752</v>
      </c>
      <c r="AB75">
        <f>ROUND((AC75+AD75+AF75),6)</f>
        <v>1448.89</v>
      </c>
      <c r="AC75">
        <f>ROUND((ES75),6)</f>
        <v>3.15</v>
      </c>
      <c r="AD75">
        <f>ROUND((((ET75)-(EU75))+AE75),6)</f>
        <v>964.23</v>
      </c>
      <c r="AE75">
        <f>ROUND((EU75),6)</f>
        <v>611.39</v>
      </c>
      <c r="AF75">
        <f>ROUND((EV75),6)</f>
        <v>481.51</v>
      </c>
      <c r="AG75">
        <f>ROUND((AP75),6)</f>
        <v>0</v>
      </c>
      <c r="AH75">
        <f>(EW75)</f>
        <v>0.95</v>
      </c>
      <c r="AI75">
        <f>(EX75)</f>
        <v>0</v>
      </c>
      <c r="AJ75">
        <f>(AS75)</f>
        <v>0</v>
      </c>
      <c r="AK75">
        <v>1448.89</v>
      </c>
      <c r="AL75">
        <v>3.15</v>
      </c>
      <c r="AM75">
        <v>964.23</v>
      </c>
      <c r="AN75">
        <v>611.39</v>
      </c>
      <c r="AO75">
        <v>481.51</v>
      </c>
      <c r="AP75">
        <v>0</v>
      </c>
      <c r="AQ75">
        <v>0.95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110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4636.45</v>
      </c>
      <c r="CQ75">
        <f>(AC75*BC75*AW75)</f>
        <v>3.15</v>
      </c>
      <c r="CR75">
        <f>((((ET75)*BB75-(EU75)*BS75)+AE75*BS75)*AV75)</f>
        <v>964.23</v>
      </c>
      <c r="CS75">
        <f>(AE75*BS75*AV75)</f>
        <v>611.39</v>
      </c>
      <c r="CT75">
        <f>(AF75*BA75*AV75)</f>
        <v>481.51</v>
      </c>
      <c r="CU75">
        <f>AG75</f>
        <v>0</v>
      </c>
      <c r="CV75">
        <f>(AH75*AV75)</f>
        <v>0.95</v>
      </c>
      <c r="CW75">
        <f>AI75</f>
        <v>0</v>
      </c>
      <c r="CX75">
        <f>AJ75</f>
        <v>0</v>
      </c>
      <c r="CY75">
        <f>((S75*BZ75)/100)</f>
        <v>1078.5809999999999</v>
      </c>
      <c r="CZ75">
        <f>((S75*CA75)/100)</f>
        <v>154.083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16987630</v>
      </c>
      <c r="DV75" t="s">
        <v>40</v>
      </c>
      <c r="DW75" t="s">
        <v>40</v>
      </c>
      <c r="DX75">
        <v>10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19</v>
      </c>
      <c r="EH75">
        <v>0</v>
      </c>
      <c r="EI75" t="s">
        <v>3</v>
      </c>
      <c r="EJ75">
        <v>4</v>
      </c>
      <c r="EK75">
        <v>0</v>
      </c>
      <c r="EL75" t="s">
        <v>20</v>
      </c>
      <c r="EM75" t="s">
        <v>21</v>
      </c>
      <c r="EO75" t="s">
        <v>3</v>
      </c>
      <c r="EQ75">
        <v>1835008</v>
      </c>
      <c r="ER75">
        <v>1448.89</v>
      </c>
      <c r="ES75">
        <v>3.15</v>
      </c>
      <c r="ET75">
        <v>964.23</v>
      </c>
      <c r="EU75">
        <v>611.39</v>
      </c>
      <c r="EV75">
        <v>481.51</v>
      </c>
      <c r="EW75">
        <v>0.95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1600635318</v>
      </c>
      <c r="GG75">
        <v>2</v>
      </c>
      <c r="GH75">
        <v>1</v>
      </c>
      <c r="GI75">
        <v>-2</v>
      </c>
      <c r="GJ75">
        <v>0</v>
      </c>
      <c r="GK75">
        <f>ROUND(R75*(R12)/100,2)</f>
        <v>2112.9699999999998</v>
      </c>
      <c r="GL75">
        <f>ROUND(IF(AND(BH75=3,BI75=3,FS75&lt;&gt;0),P75,0),2)</f>
        <v>0</v>
      </c>
      <c r="GM75">
        <f>ROUND(O75+X75+Y75+GK75,2)+GX75</f>
        <v>7982.08</v>
      </c>
      <c r="GN75">
        <f>IF(OR(BI75=0,BI75=1),GM75-GX75,0)</f>
        <v>0</v>
      </c>
      <c r="GO75">
        <f>IF(BI75=2,GM75-GX75,0)</f>
        <v>0</v>
      </c>
      <c r="GP75">
        <f>IF(BI75=4,GM75-GX75,0)</f>
        <v>7982.08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7" spans="1:245" x14ac:dyDescent="0.2">
      <c r="A77" s="2">
        <v>51</v>
      </c>
      <c r="B77" s="2">
        <f>B70</f>
        <v>1</v>
      </c>
      <c r="C77" s="2">
        <f>A70</f>
        <v>5</v>
      </c>
      <c r="D77" s="2">
        <f>ROW(A70)</f>
        <v>70</v>
      </c>
      <c r="E77" s="2"/>
      <c r="F77" s="2" t="str">
        <f>IF(F70&lt;&gt;"",F70,"")</f>
        <v>Новый подраздел</v>
      </c>
      <c r="G77" s="2" t="str">
        <f>IF(G70&lt;&gt;"",G70,"")</f>
        <v>2.1 Отопление</v>
      </c>
      <c r="H77" s="2">
        <v>0</v>
      </c>
      <c r="I77" s="2"/>
      <c r="J77" s="2"/>
      <c r="K77" s="2"/>
      <c r="L77" s="2"/>
      <c r="M77" s="2"/>
      <c r="N77" s="2"/>
      <c r="O77" s="2">
        <f t="shared" ref="O77:T77" si="70">ROUND(AB77,2)</f>
        <v>4636.45</v>
      </c>
      <c r="P77" s="2">
        <f t="shared" si="70"/>
        <v>10.08</v>
      </c>
      <c r="Q77" s="2">
        <f t="shared" si="70"/>
        <v>3085.54</v>
      </c>
      <c r="R77" s="2">
        <f t="shared" si="70"/>
        <v>1956.45</v>
      </c>
      <c r="S77" s="2">
        <f t="shared" si="70"/>
        <v>1540.83</v>
      </c>
      <c r="T77" s="2">
        <f t="shared" si="70"/>
        <v>0</v>
      </c>
      <c r="U77" s="2">
        <f>AH77</f>
        <v>3.04</v>
      </c>
      <c r="V77" s="2">
        <f>AI77</f>
        <v>0</v>
      </c>
      <c r="W77" s="2">
        <f>ROUND(AJ77,2)</f>
        <v>0</v>
      </c>
      <c r="X77" s="2">
        <f>ROUND(AK77,2)</f>
        <v>1078.58</v>
      </c>
      <c r="Y77" s="2">
        <f>ROUND(AL77,2)</f>
        <v>154.08000000000001</v>
      </c>
      <c r="Z77" s="2"/>
      <c r="AA77" s="2"/>
      <c r="AB77" s="2">
        <f>ROUND(SUMIF(AA74:AA75,"=1471988752",O74:O75),2)</f>
        <v>4636.45</v>
      </c>
      <c r="AC77" s="2">
        <f>ROUND(SUMIF(AA74:AA75,"=1471988752",P74:P75),2)</f>
        <v>10.08</v>
      </c>
      <c r="AD77" s="2">
        <f>ROUND(SUMIF(AA74:AA75,"=1471988752",Q74:Q75),2)</f>
        <v>3085.54</v>
      </c>
      <c r="AE77" s="2">
        <f>ROUND(SUMIF(AA74:AA75,"=1471988752",R74:R75),2)</f>
        <v>1956.45</v>
      </c>
      <c r="AF77" s="2">
        <f>ROUND(SUMIF(AA74:AA75,"=1471988752",S74:S75),2)</f>
        <v>1540.83</v>
      </c>
      <c r="AG77" s="2">
        <f>ROUND(SUMIF(AA74:AA75,"=1471988752",T74:T75),2)</f>
        <v>0</v>
      </c>
      <c r="AH77" s="2">
        <f>SUMIF(AA74:AA75,"=1471988752",U74:U75)</f>
        <v>3.04</v>
      </c>
      <c r="AI77" s="2">
        <f>SUMIF(AA74:AA75,"=1471988752",V74:V75)</f>
        <v>0</v>
      </c>
      <c r="AJ77" s="2">
        <f>ROUND(SUMIF(AA74:AA75,"=1471988752",W74:W75),2)</f>
        <v>0</v>
      </c>
      <c r="AK77" s="2">
        <f>ROUND(SUMIF(AA74:AA75,"=1471988752",X74:X75),2)</f>
        <v>1078.58</v>
      </c>
      <c r="AL77" s="2">
        <f>ROUND(SUMIF(AA74:AA75,"=1471988752",Y74:Y75),2)</f>
        <v>154.08000000000001</v>
      </c>
      <c r="AM77" s="2"/>
      <c r="AN77" s="2"/>
      <c r="AO77" s="2">
        <f t="shared" ref="AO77:BD77" si="71">ROUND(BX77,2)</f>
        <v>0</v>
      </c>
      <c r="AP77" s="2">
        <f t="shared" si="71"/>
        <v>0</v>
      </c>
      <c r="AQ77" s="2">
        <f t="shared" si="71"/>
        <v>0</v>
      </c>
      <c r="AR77" s="2">
        <f t="shared" si="71"/>
        <v>7982.08</v>
      </c>
      <c r="AS77" s="2">
        <f t="shared" si="71"/>
        <v>0</v>
      </c>
      <c r="AT77" s="2">
        <f t="shared" si="71"/>
        <v>0</v>
      </c>
      <c r="AU77" s="2">
        <f t="shared" si="71"/>
        <v>7982.08</v>
      </c>
      <c r="AV77" s="2">
        <f t="shared" si="71"/>
        <v>10.08</v>
      </c>
      <c r="AW77" s="2">
        <f t="shared" si="71"/>
        <v>10.08</v>
      </c>
      <c r="AX77" s="2">
        <f t="shared" si="71"/>
        <v>0</v>
      </c>
      <c r="AY77" s="2">
        <f t="shared" si="71"/>
        <v>10.08</v>
      </c>
      <c r="AZ77" s="2">
        <f t="shared" si="71"/>
        <v>0</v>
      </c>
      <c r="BA77" s="2">
        <f t="shared" si="71"/>
        <v>0</v>
      </c>
      <c r="BB77" s="2">
        <f t="shared" si="71"/>
        <v>0</v>
      </c>
      <c r="BC77" s="2">
        <f t="shared" si="71"/>
        <v>0</v>
      </c>
      <c r="BD77" s="2">
        <f t="shared" si="71"/>
        <v>0</v>
      </c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>
        <f>ROUND(SUMIF(AA74:AA75,"=1471988752",FQ74:FQ75),2)</f>
        <v>0</v>
      </c>
      <c r="BY77" s="2">
        <f>ROUND(SUMIF(AA74:AA75,"=1471988752",FR74:FR75),2)</f>
        <v>0</v>
      </c>
      <c r="BZ77" s="2">
        <f>ROUND(SUMIF(AA74:AA75,"=1471988752",GL74:GL75),2)</f>
        <v>0</v>
      </c>
      <c r="CA77" s="2">
        <f>ROUND(SUMIF(AA74:AA75,"=1471988752",GM74:GM75),2)</f>
        <v>7982.08</v>
      </c>
      <c r="CB77" s="2">
        <f>ROUND(SUMIF(AA74:AA75,"=1471988752",GN74:GN75),2)</f>
        <v>0</v>
      </c>
      <c r="CC77" s="2">
        <f>ROUND(SUMIF(AA74:AA75,"=1471988752",GO74:GO75),2)</f>
        <v>0</v>
      </c>
      <c r="CD77" s="2">
        <f>ROUND(SUMIF(AA74:AA75,"=1471988752",GP74:GP75),2)</f>
        <v>7982.08</v>
      </c>
      <c r="CE77" s="2">
        <f>AC77-BX77</f>
        <v>10.08</v>
      </c>
      <c r="CF77" s="2">
        <f>AC77-BY77</f>
        <v>10.08</v>
      </c>
      <c r="CG77" s="2">
        <f>BX77-BZ77</f>
        <v>0</v>
      </c>
      <c r="CH77" s="2">
        <f>AC77-BX77-BY77+BZ77</f>
        <v>10.08</v>
      </c>
      <c r="CI77" s="2">
        <f>BY77-BZ77</f>
        <v>0</v>
      </c>
      <c r="CJ77" s="2">
        <f>ROUND(SUMIF(AA74:AA75,"=1471988752",GX74:GX75),2)</f>
        <v>0</v>
      </c>
      <c r="CK77" s="2">
        <f>ROUND(SUMIF(AA74:AA75,"=1471988752",GY74:GY75),2)</f>
        <v>0</v>
      </c>
      <c r="CL77" s="2">
        <f>ROUND(SUMIF(AA74:AA75,"=1471988752",GZ74:GZ75),2)</f>
        <v>0</v>
      </c>
      <c r="CM77" s="2">
        <f>ROUND(SUMIF(AA74:AA75,"=1471988752",HD74:HD75),2)</f>
        <v>0</v>
      </c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>
        <v>0</v>
      </c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201</v>
      </c>
      <c r="F79" s="4">
        <f>ROUND(Source!O77,O79)</f>
        <v>4636.45</v>
      </c>
      <c r="G79" s="4" t="s">
        <v>45</v>
      </c>
      <c r="H79" s="4" t="s">
        <v>46</v>
      </c>
      <c r="I79" s="4"/>
      <c r="J79" s="4"/>
      <c r="K79" s="4">
        <v>201</v>
      </c>
      <c r="L79" s="4">
        <v>1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4636.45</v>
      </c>
      <c r="X79" s="4">
        <v>1</v>
      </c>
      <c r="Y79" s="4">
        <v>4636.45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202</v>
      </c>
      <c r="F80" s="4">
        <f>ROUND(Source!P77,O80)</f>
        <v>10.08</v>
      </c>
      <c r="G80" s="4" t="s">
        <v>47</v>
      </c>
      <c r="H80" s="4" t="s">
        <v>48</v>
      </c>
      <c r="I80" s="4"/>
      <c r="J80" s="4"/>
      <c r="K80" s="4">
        <v>202</v>
      </c>
      <c r="L80" s="4">
        <v>2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10.08</v>
      </c>
      <c r="X80" s="4">
        <v>1</v>
      </c>
      <c r="Y80" s="4">
        <v>10.08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222</v>
      </c>
      <c r="F81" s="4">
        <f>ROUND(Source!AO77,O81)</f>
        <v>0</v>
      </c>
      <c r="G81" s="4" t="s">
        <v>49</v>
      </c>
      <c r="H81" s="4" t="s">
        <v>50</v>
      </c>
      <c r="I81" s="4"/>
      <c r="J81" s="4"/>
      <c r="K81" s="4">
        <v>222</v>
      </c>
      <c r="L81" s="4">
        <v>3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225</v>
      </c>
      <c r="F82" s="4">
        <f>ROUND(Source!AV77,O82)</f>
        <v>10.08</v>
      </c>
      <c r="G82" s="4" t="s">
        <v>51</v>
      </c>
      <c r="H82" s="4" t="s">
        <v>52</v>
      </c>
      <c r="I82" s="4"/>
      <c r="J82" s="4"/>
      <c r="K82" s="4">
        <v>225</v>
      </c>
      <c r="L82" s="4">
        <v>4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10.08</v>
      </c>
      <c r="X82" s="4">
        <v>1</v>
      </c>
      <c r="Y82" s="4">
        <v>10.08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226</v>
      </c>
      <c r="F83" s="4">
        <f>ROUND(Source!AW77,O83)</f>
        <v>10.08</v>
      </c>
      <c r="G83" s="4" t="s">
        <v>53</v>
      </c>
      <c r="H83" s="4" t="s">
        <v>54</v>
      </c>
      <c r="I83" s="4"/>
      <c r="J83" s="4"/>
      <c r="K83" s="4">
        <v>226</v>
      </c>
      <c r="L83" s="4">
        <v>5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10.08</v>
      </c>
      <c r="X83" s="4">
        <v>1</v>
      </c>
      <c r="Y83" s="4">
        <v>10.08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227</v>
      </c>
      <c r="F84" s="4">
        <f>ROUND(Source!AX77,O84)</f>
        <v>0</v>
      </c>
      <c r="G84" s="4" t="s">
        <v>55</v>
      </c>
      <c r="H84" s="4" t="s">
        <v>56</v>
      </c>
      <c r="I84" s="4"/>
      <c r="J84" s="4"/>
      <c r="K84" s="4">
        <v>227</v>
      </c>
      <c r="L84" s="4">
        <v>6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228</v>
      </c>
      <c r="F85" s="4">
        <f>ROUND(Source!AY77,O85)</f>
        <v>10.08</v>
      </c>
      <c r="G85" s="4" t="s">
        <v>57</v>
      </c>
      <c r="H85" s="4" t="s">
        <v>58</v>
      </c>
      <c r="I85" s="4"/>
      <c r="J85" s="4"/>
      <c r="K85" s="4">
        <v>228</v>
      </c>
      <c r="L85" s="4">
        <v>7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10.08</v>
      </c>
      <c r="X85" s="4">
        <v>1</v>
      </c>
      <c r="Y85" s="4">
        <v>10.08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216</v>
      </c>
      <c r="F86" s="4">
        <f>ROUND(Source!AP77,O86)</f>
        <v>0</v>
      </c>
      <c r="G86" s="4" t="s">
        <v>59</v>
      </c>
      <c r="H86" s="4" t="s">
        <v>60</v>
      </c>
      <c r="I86" s="4"/>
      <c r="J86" s="4"/>
      <c r="K86" s="4">
        <v>216</v>
      </c>
      <c r="L86" s="4">
        <v>8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223</v>
      </c>
      <c r="F87" s="4">
        <f>ROUND(Source!AQ77,O87)</f>
        <v>0</v>
      </c>
      <c r="G87" s="4" t="s">
        <v>61</v>
      </c>
      <c r="H87" s="4" t="s">
        <v>62</v>
      </c>
      <c r="I87" s="4"/>
      <c r="J87" s="4"/>
      <c r="K87" s="4">
        <v>223</v>
      </c>
      <c r="L87" s="4">
        <v>9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229</v>
      </c>
      <c r="F88" s="4">
        <f>ROUND(Source!AZ77,O88)</f>
        <v>0</v>
      </c>
      <c r="G88" s="4" t="s">
        <v>63</v>
      </c>
      <c r="H88" s="4" t="s">
        <v>64</v>
      </c>
      <c r="I88" s="4"/>
      <c r="J88" s="4"/>
      <c r="K88" s="4">
        <v>229</v>
      </c>
      <c r="L88" s="4">
        <v>10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203</v>
      </c>
      <c r="F89" s="4">
        <f>ROUND(Source!Q77,O89)</f>
        <v>3085.54</v>
      </c>
      <c r="G89" s="4" t="s">
        <v>65</v>
      </c>
      <c r="H89" s="4" t="s">
        <v>66</v>
      </c>
      <c r="I89" s="4"/>
      <c r="J89" s="4"/>
      <c r="K89" s="4">
        <v>203</v>
      </c>
      <c r="L89" s="4">
        <v>11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3085.54</v>
      </c>
      <c r="X89" s="4">
        <v>1</v>
      </c>
      <c r="Y89" s="4">
        <v>3085.54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231</v>
      </c>
      <c r="F90" s="4">
        <f>ROUND(Source!BB77,O90)</f>
        <v>0</v>
      </c>
      <c r="G90" s="4" t="s">
        <v>67</v>
      </c>
      <c r="H90" s="4" t="s">
        <v>68</v>
      </c>
      <c r="I90" s="4"/>
      <c r="J90" s="4"/>
      <c r="K90" s="4">
        <v>231</v>
      </c>
      <c r="L90" s="4">
        <v>12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204</v>
      </c>
      <c r="F91" s="4">
        <f>ROUND(Source!R77,O91)</f>
        <v>1956.45</v>
      </c>
      <c r="G91" s="4" t="s">
        <v>69</v>
      </c>
      <c r="H91" s="4" t="s">
        <v>70</v>
      </c>
      <c r="I91" s="4"/>
      <c r="J91" s="4"/>
      <c r="K91" s="4">
        <v>204</v>
      </c>
      <c r="L91" s="4">
        <v>13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1956.45</v>
      </c>
      <c r="X91" s="4">
        <v>1</v>
      </c>
      <c r="Y91" s="4">
        <v>1956.45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205</v>
      </c>
      <c r="F92" s="4">
        <f>ROUND(Source!S77,O92)</f>
        <v>1540.83</v>
      </c>
      <c r="G92" s="4" t="s">
        <v>71</v>
      </c>
      <c r="H92" s="4" t="s">
        <v>72</v>
      </c>
      <c r="I92" s="4"/>
      <c r="J92" s="4"/>
      <c r="K92" s="4">
        <v>205</v>
      </c>
      <c r="L92" s="4">
        <v>14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1540.83</v>
      </c>
      <c r="X92" s="4">
        <v>1</v>
      </c>
      <c r="Y92" s="4">
        <v>1540.83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232</v>
      </c>
      <c r="F93" s="4">
        <f>ROUND(Source!BC77,O93)</f>
        <v>0</v>
      </c>
      <c r="G93" s="4" t="s">
        <v>73</v>
      </c>
      <c r="H93" s="4" t="s">
        <v>74</v>
      </c>
      <c r="I93" s="4"/>
      <c r="J93" s="4"/>
      <c r="K93" s="4">
        <v>232</v>
      </c>
      <c r="L93" s="4">
        <v>15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214</v>
      </c>
      <c r="F94" s="4">
        <f>ROUND(Source!AS77,O94)</f>
        <v>0</v>
      </c>
      <c r="G94" s="4" t="s">
        <v>75</v>
      </c>
      <c r="H94" s="4" t="s">
        <v>76</v>
      </c>
      <c r="I94" s="4"/>
      <c r="J94" s="4"/>
      <c r="K94" s="4">
        <v>214</v>
      </c>
      <c r="L94" s="4">
        <v>16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215</v>
      </c>
      <c r="F95" s="4">
        <f>ROUND(Source!AT77,O95)</f>
        <v>0</v>
      </c>
      <c r="G95" s="4" t="s">
        <v>77</v>
      </c>
      <c r="H95" s="4" t="s">
        <v>78</v>
      </c>
      <c r="I95" s="4"/>
      <c r="J95" s="4"/>
      <c r="K95" s="4">
        <v>215</v>
      </c>
      <c r="L95" s="4">
        <v>17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217</v>
      </c>
      <c r="F96" s="4">
        <f>ROUND(Source!AU77,O96)</f>
        <v>7982.08</v>
      </c>
      <c r="G96" s="4" t="s">
        <v>79</v>
      </c>
      <c r="H96" s="4" t="s">
        <v>80</v>
      </c>
      <c r="I96" s="4"/>
      <c r="J96" s="4"/>
      <c r="K96" s="4">
        <v>217</v>
      </c>
      <c r="L96" s="4">
        <v>18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7982.08</v>
      </c>
      <c r="X96" s="4">
        <v>1</v>
      </c>
      <c r="Y96" s="4">
        <v>7982.08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230</v>
      </c>
      <c r="F97" s="4">
        <f>ROUND(Source!BA77,O97)</f>
        <v>0</v>
      </c>
      <c r="G97" s="4" t="s">
        <v>81</v>
      </c>
      <c r="H97" s="4" t="s">
        <v>82</v>
      </c>
      <c r="I97" s="4"/>
      <c r="J97" s="4"/>
      <c r="K97" s="4">
        <v>230</v>
      </c>
      <c r="L97" s="4">
        <v>19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206</v>
      </c>
      <c r="F98" s="4">
        <f>ROUND(Source!T77,O98)</f>
        <v>0</v>
      </c>
      <c r="G98" s="4" t="s">
        <v>83</v>
      </c>
      <c r="H98" s="4" t="s">
        <v>84</v>
      </c>
      <c r="I98" s="4"/>
      <c r="J98" s="4"/>
      <c r="K98" s="4">
        <v>206</v>
      </c>
      <c r="L98" s="4">
        <v>20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207</v>
      </c>
      <c r="F99" s="4">
        <f>Source!U77</f>
        <v>3.04</v>
      </c>
      <c r="G99" s="4" t="s">
        <v>85</v>
      </c>
      <c r="H99" s="4" t="s">
        <v>86</v>
      </c>
      <c r="I99" s="4"/>
      <c r="J99" s="4"/>
      <c r="K99" s="4">
        <v>207</v>
      </c>
      <c r="L99" s="4">
        <v>21</v>
      </c>
      <c r="M99" s="4">
        <v>3</v>
      </c>
      <c r="N99" s="4" t="s">
        <v>3</v>
      </c>
      <c r="O99" s="4">
        <v>-1</v>
      </c>
      <c r="P99" s="4"/>
      <c r="Q99" s="4"/>
      <c r="R99" s="4"/>
      <c r="S99" s="4"/>
      <c r="T99" s="4"/>
      <c r="U99" s="4"/>
      <c r="V99" s="4"/>
      <c r="W99" s="4">
        <v>3.04</v>
      </c>
      <c r="X99" s="4">
        <v>1</v>
      </c>
      <c r="Y99" s="4">
        <v>3.04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208</v>
      </c>
      <c r="F100" s="4">
        <f>Source!V77</f>
        <v>0</v>
      </c>
      <c r="G100" s="4" t="s">
        <v>87</v>
      </c>
      <c r="H100" s="4" t="s">
        <v>88</v>
      </c>
      <c r="I100" s="4"/>
      <c r="J100" s="4"/>
      <c r="K100" s="4">
        <v>208</v>
      </c>
      <c r="L100" s="4">
        <v>22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209</v>
      </c>
      <c r="F101" s="4">
        <f>ROUND(Source!W77,O101)</f>
        <v>0</v>
      </c>
      <c r="G101" s="4" t="s">
        <v>89</v>
      </c>
      <c r="H101" s="4" t="s">
        <v>90</v>
      </c>
      <c r="I101" s="4"/>
      <c r="J101" s="4"/>
      <c r="K101" s="4">
        <v>209</v>
      </c>
      <c r="L101" s="4">
        <v>23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233</v>
      </c>
      <c r="F102" s="4">
        <f>ROUND(Source!BD77,O102)</f>
        <v>0</v>
      </c>
      <c r="G102" s="4" t="s">
        <v>91</v>
      </c>
      <c r="H102" s="4" t="s">
        <v>92</v>
      </c>
      <c r="I102" s="4"/>
      <c r="J102" s="4"/>
      <c r="K102" s="4">
        <v>233</v>
      </c>
      <c r="L102" s="4">
        <v>24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ROUND(Source!X77,O103)</f>
        <v>1078.58</v>
      </c>
      <c r="G103" s="4" t="s">
        <v>93</v>
      </c>
      <c r="H103" s="4" t="s">
        <v>94</v>
      </c>
      <c r="I103" s="4"/>
      <c r="J103" s="4"/>
      <c r="K103" s="4">
        <v>210</v>
      </c>
      <c r="L103" s="4">
        <v>25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1078.58</v>
      </c>
      <c r="X103" s="4">
        <v>1</v>
      </c>
      <c r="Y103" s="4">
        <v>1078.58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ROUND(Source!Y77,O104)</f>
        <v>154.08000000000001</v>
      </c>
      <c r="G104" s="4" t="s">
        <v>95</v>
      </c>
      <c r="H104" s="4" t="s">
        <v>96</v>
      </c>
      <c r="I104" s="4"/>
      <c r="J104" s="4"/>
      <c r="K104" s="4">
        <v>211</v>
      </c>
      <c r="L104" s="4">
        <v>26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154.08000000000001</v>
      </c>
      <c r="X104" s="4">
        <v>1</v>
      </c>
      <c r="Y104" s="4">
        <v>154.08000000000001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ROUND(Source!AR77,O105)</f>
        <v>7982.08</v>
      </c>
      <c r="G105" s="4" t="s">
        <v>97</v>
      </c>
      <c r="H105" s="4" t="s">
        <v>98</v>
      </c>
      <c r="I105" s="4"/>
      <c r="J105" s="4"/>
      <c r="K105" s="4">
        <v>224</v>
      </c>
      <c r="L105" s="4">
        <v>27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7982.08</v>
      </c>
      <c r="X105" s="4">
        <v>1</v>
      </c>
      <c r="Y105" s="4">
        <v>7982.08</v>
      </c>
      <c r="Z105" s="4"/>
      <c r="AA105" s="4"/>
      <c r="AB105" s="4"/>
    </row>
    <row r="107" spans="1:245" x14ac:dyDescent="0.2">
      <c r="A107" s="1">
        <v>5</v>
      </c>
      <c r="B107" s="1">
        <v>1</v>
      </c>
      <c r="C107" s="1"/>
      <c r="D107" s="1">
        <f>ROW(A169)</f>
        <v>169</v>
      </c>
      <c r="E107" s="1"/>
      <c r="F107" s="1" t="s">
        <v>100</v>
      </c>
      <c r="G107" s="1" t="s">
        <v>111</v>
      </c>
      <c r="H107" s="1" t="s">
        <v>3</v>
      </c>
      <c r="I107" s="1">
        <v>0</v>
      </c>
      <c r="J107" s="1"/>
      <c r="K107" s="1">
        <v>0</v>
      </c>
      <c r="L107" s="1"/>
      <c r="M107" s="1" t="s">
        <v>3</v>
      </c>
      <c r="N107" s="1"/>
      <c r="O107" s="1"/>
      <c r="P107" s="1"/>
      <c r="Q107" s="1"/>
      <c r="R107" s="1"/>
      <c r="S107" s="1">
        <v>0</v>
      </c>
      <c r="T107" s="1"/>
      <c r="U107" s="1" t="s">
        <v>3</v>
      </c>
      <c r="V107" s="1">
        <v>0</v>
      </c>
      <c r="W107" s="1"/>
      <c r="X107" s="1"/>
      <c r="Y107" s="1"/>
      <c r="Z107" s="1"/>
      <c r="AA107" s="1"/>
      <c r="AB107" s="1" t="s">
        <v>3</v>
      </c>
      <c r="AC107" s="1" t="s">
        <v>3</v>
      </c>
      <c r="AD107" s="1" t="s">
        <v>3</v>
      </c>
      <c r="AE107" s="1" t="s">
        <v>3</v>
      </c>
      <c r="AF107" s="1" t="s">
        <v>3</v>
      </c>
      <c r="AG107" s="1" t="s">
        <v>3</v>
      </c>
      <c r="AH107" s="1"/>
      <c r="AI107" s="1"/>
      <c r="AJ107" s="1"/>
      <c r="AK107" s="1"/>
      <c r="AL107" s="1"/>
      <c r="AM107" s="1"/>
      <c r="AN107" s="1"/>
      <c r="AO107" s="1"/>
      <c r="AP107" s="1" t="s">
        <v>3</v>
      </c>
      <c r="AQ107" s="1" t="s">
        <v>3</v>
      </c>
      <c r="AR107" s="1" t="s">
        <v>3</v>
      </c>
      <c r="AS107" s="1"/>
      <c r="AT107" s="1"/>
      <c r="AU107" s="1"/>
      <c r="AV107" s="1"/>
      <c r="AW107" s="1"/>
      <c r="AX107" s="1"/>
      <c r="AY107" s="1"/>
      <c r="AZ107" s="1" t="s">
        <v>3</v>
      </c>
      <c r="BA107" s="1"/>
      <c r="BB107" s="1" t="s">
        <v>3</v>
      </c>
      <c r="BC107" s="1" t="s">
        <v>3</v>
      </c>
      <c r="BD107" s="1" t="s">
        <v>3</v>
      </c>
      <c r="BE107" s="1" t="s">
        <v>3</v>
      </c>
      <c r="BF107" s="1" t="s">
        <v>3</v>
      </c>
      <c r="BG107" s="1" t="s">
        <v>3</v>
      </c>
      <c r="BH107" s="1" t="s">
        <v>3</v>
      </c>
      <c r="BI107" s="1" t="s">
        <v>3</v>
      </c>
      <c r="BJ107" s="1" t="s">
        <v>3</v>
      </c>
      <c r="BK107" s="1" t="s">
        <v>3</v>
      </c>
      <c r="BL107" s="1" t="s">
        <v>3</v>
      </c>
      <c r="BM107" s="1" t="s">
        <v>3</v>
      </c>
      <c r="BN107" s="1" t="s">
        <v>3</v>
      </c>
      <c r="BO107" s="1" t="s">
        <v>3</v>
      </c>
      <c r="BP107" s="1" t="s">
        <v>3</v>
      </c>
      <c r="BQ107" s="1"/>
      <c r="BR107" s="1"/>
      <c r="BS107" s="1"/>
      <c r="BT107" s="1"/>
      <c r="BU107" s="1"/>
      <c r="BV107" s="1"/>
      <c r="BW107" s="1"/>
      <c r="BX107" s="1">
        <v>0</v>
      </c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>
        <v>0</v>
      </c>
    </row>
    <row r="109" spans="1:245" x14ac:dyDescent="0.2">
      <c r="A109" s="2">
        <v>52</v>
      </c>
      <c r="B109" s="2">
        <f t="shared" ref="B109:G109" si="72">B169</f>
        <v>1</v>
      </c>
      <c r="C109" s="2">
        <f t="shared" si="72"/>
        <v>5</v>
      </c>
      <c r="D109" s="2">
        <f t="shared" si="72"/>
        <v>107</v>
      </c>
      <c r="E109" s="2">
        <f t="shared" si="72"/>
        <v>0</v>
      </c>
      <c r="F109" s="2" t="str">
        <f t="shared" si="72"/>
        <v>Новый подраздел</v>
      </c>
      <c r="G109" s="2" t="str">
        <f t="shared" si="72"/>
        <v>2.2 Индивидуальный тепловой пункт</v>
      </c>
      <c r="H109" s="2"/>
      <c r="I109" s="2"/>
      <c r="J109" s="2"/>
      <c r="K109" s="2"/>
      <c r="L109" s="2"/>
      <c r="M109" s="2"/>
      <c r="N109" s="2"/>
      <c r="O109" s="2">
        <f t="shared" ref="O109:AT109" si="73">O169</f>
        <v>48082.27</v>
      </c>
      <c r="P109" s="2">
        <f t="shared" si="73"/>
        <v>4541.76</v>
      </c>
      <c r="Q109" s="2">
        <f t="shared" si="73"/>
        <v>3439.92</v>
      </c>
      <c r="R109" s="2">
        <f t="shared" si="73"/>
        <v>2181.16</v>
      </c>
      <c r="S109" s="2">
        <f t="shared" si="73"/>
        <v>40100.589999999997</v>
      </c>
      <c r="T109" s="2">
        <f t="shared" si="73"/>
        <v>0</v>
      </c>
      <c r="U109" s="2">
        <f t="shared" si="73"/>
        <v>58.011999999999993</v>
      </c>
      <c r="V109" s="2">
        <f t="shared" si="73"/>
        <v>0</v>
      </c>
      <c r="W109" s="2">
        <f t="shared" si="73"/>
        <v>0</v>
      </c>
      <c r="X109" s="2">
        <f t="shared" si="73"/>
        <v>28070.43</v>
      </c>
      <c r="Y109" s="2">
        <f t="shared" si="73"/>
        <v>4010.07</v>
      </c>
      <c r="Z109" s="2">
        <f t="shared" si="73"/>
        <v>0</v>
      </c>
      <c r="AA109" s="2">
        <f t="shared" si="73"/>
        <v>0</v>
      </c>
      <c r="AB109" s="2">
        <f t="shared" si="73"/>
        <v>48082.27</v>
      </c>
      <c r="AC109" s="2">
        <f t="shared" si="73"/>
        <v>4541.76</v>
      </c>
      <c r="AD109" s="2">
        <f t="shared" si="73"/>
        <v>3439.92</v>
      </c>
      <c r="AE109" s="2">
        <f t="shared" si="73"/>
        <v>2181.16</v>
      </c>
      <c r="AF109" s="2">
        <f t="shared" si="73"/>
        <v>40100.589999999997</v>
      </c>
      <c r="AG109" s="2">
        <f t="shared" si="73"/>
        <v>0</v>
      </c>
      <c r="AH109" s="2">
        <f t="shared" si="73"/>
        <v>58.011999999999993</v>
      </c>
      <c r="AI109" s="2">
        <f t="shared" si="73"/>
        <v>0</v>
      </c>
      <c r="AJ109" s="2">
        <f t="shared" si="73"/>
        <v>0</v>
      </c>
      <c r="AK109" s="2">
        <f t="shared" si="73"/>
        <v>28070.43</v>
      </c>
      <c r="AL109" s="2">
        <f t="shared" si="73"/>
        <v>4010.07</v>
      </c>
      <c r="AM109" s="2">
        <f t="shared" si="73"/>
        <v>0</v>
      </c>
      <c r="AN109" s="2">
        <f t="shared" si="73"/>
        <v>0</v>
      </c>
      <c r="AO109" s="2">
        <f t="shared" si="73"/>
        <v>0</v>
      </c>
      <c r="AP109" s="2">
        <f t="shared" si="73"/>
        <v>0</v>
      </c>
      <c r="AQ109" s="2">
        <f t="shared" si="73"/>
        <v>0</v>
      </c>
      <c r="AR109" s="2">
        <f t="shared" si="73"/>
        <v>82518.429999999993</v>
      </c>
      <c r="AS109" s="2">
        <f t="shared" si="73"/>
        <v>0</v>
      </c>
      <c r="AT109" s="2">
        <f t="shared" si="73"/>
        <v>0</v>
      </c>
      <c r="AU109" s="2">
        <f t="shared" ref="AU109:BZ109" si="74">AU169</f>
        <v>82518.429999999993</v>
      </c>
      <c r="AV109" s="2">
        <f t="shared" si="74"/>
        <v>4541.76</v>
      </c>
      <c r="AW109" s="2">
        <f t="shared" si="74"/>
        <v>4541.76</v>
      </c>
      <c r="AX109" s="2">
        <f t="shared" si="74"/>
        <v>0</v>
      </c>
      <c r="AY109" s="2">
        <f t="shared" si="74"/>
        <v>4541.76</v>
      </c>
      <c r="AZ109" s="2">
        <f t="shared" si="74"/>
        <v>0</v>
      </c>
      <c r="BA109" s="2">
        <f t="shared" si="74"/>
        <v>0</v>
      </c>
      <c r="BB109" s="2">
        <f t="shared" si="74"/>
        <v>0</v>
      </c>
      <c r="BC109" s="2">
        <f t="shared" si="74"/>
        <v>0</v>
      </c>
      <c r="BD109" s="2">
        <f t="shared" si="74"/>
        <v>0</v>
      </c>
      <c r="BE109" s="2">
        <f t="shared" si="74"/>
        <v>0</v>
      </c>
      <c r="BF109" s="2">
        <f t="shared" si="74"/>
        <v>0</v>
      </c>
      <c r="BG109" s="2">
        <f t="shared" si="74"/>
        <v>0</v>
      </c>
      <c r="BH109" s="2">
        <f t="shared" si="74"/>
        <v>0</v>
      </c>
      <c r="BI109" s="2">
        <f t="shared" si="74"/>
        <v>0</v>
      </c>
      <c r="BJ109" s="2">
        <f t="shared" si="74"/>
        <v>0</v>
      </c>
      <c r="BK109" s="2">
        <f t="shared" si="74"/>
        <v>0</v>
      </c>
      <c r="BL109" s="2">
        <f t="shared" si="74"/>
        <v>0</v>
      </c>
      <c r="BM109" s="2">
        <f t="shared" si="74"/>
        <v>0</v>
      </c>
      <c r="BN109" s="2">
        <f t="shared" si="74"/>
        <v>0</v>
      </c>
      <c r="BO109" s="2">
        <f t="shared" si="74"/>
        <v>0</v>
      </c>
      <c r="BP109" s="2">
        <f t="shared" si="74"/>
        <v>0</v>
      </c>
      <c r="BQ109" s="2">
        <f t="shared" si="74"/>
        <v>0</v>
      </c>
      <c r="BR109" s="2">
        <f t="shared" si="74"/>
        <v>0</v>
      </c>
      <c r="BS109" s="2">
        <f t="shared" si="74"/>
        <v>0</v>
      </c>
      <c r="BT109" s="2">
        <f t="shared" si="74"/>
        <v>0</v>
      </c>
      <c r="BU109" s="2">
        <f t="shared" si="74"/>
        <v>0</v>
      </c>
      <c r="BV109" s="2">
        <f t="shared" si="74"/>
        <v>0</v>
      </c>
      <c r="BW109" s="2">
        <f t="shared" si="74"/>
        <v>0</v>
      </c>
      <c r="BX109" s="2">
        <f t="shared" si="74"/>
        <v>0</v>
      </c>
      <c r="BY109" s="2">
        <f t="shared" si="74"/>
        <v>0</v>
      </c>
      <c r="BZ109" s="2">
        <f t="shared" si="74"/>
        <v>0</v>
      </c>
      <c r="CA109" s="2">
        <f t="shared" ref="CA109:DF109" si="75">CA169</f>
        <v>82518.429999999993</v>
      </c>
      <c r="CB109" s="2">
        <f t="shared" si="75"/>
        <v>0</v>
      </c>
      <c r="CC109" s="2">
        <f t="shared" si="75"/>
        <v>0</v>
      </c>
      <c r="CD109" s="2">
        <f t="shared" si="75"/>
        <v>82518.429999999993</v>
      </c>
      <c r="CE109" s="2">
        <f t="shared" si="75"/>
        <v>4541.76</v>
      </c>
      <c r="CF109" s="2">
        <f t="shared" si="75"/>
        <v>4541.76</v>
      </c>
      <c r="CG109" s="2">
        <f t="shared" si="75"/>
        <v>0</v>
      </c>
      <c r="CH109" s="2">
        <f t="shared" si="75"/>
        <v>4541.76</v>
      </c>
      <c r="CI109" s="2">
        <f t="shared" si="75"/>
        <v>0</v>
      </c>
      <c r="CJ109" s="2">
        <f t="shared" si="75"/>
        <v>0</v>
      </c>
      <c r="CK109" s="2">
        <f t="shared" si="75"/>
        <v>0</v>
      </c>
      <c r="CL109" s="2">
        <f t="shared" si="75"/>
        <v>0</v>
      </c>
      <c r="CM109" s="2">
        <f t="shared" si="75"/>
        <v>0</v>
      </c>
      <c r="CN109" s="2">
        <f t="shared" si="75"/>
        <v>0</v>
      </c>
      <c r="CO109" s="2">
        <f t="shared" si="75"/>
        <v>0</v>
      </c>
      <c r="CP109" s="2">
        <f t="shared" si="75"/>
        <v>0</v>
      </c>
      <c r="CQ109" s="2">
        <f t="shared" si="75"/>
        <v>0</v>
      </c>
      <c r="CR109" s="2">
        <f t="shared" si="75"/>
        <v>0</v>
      </c>
      <c r="CS109" s="2">
        <f t="shared" si="75"/>
        <v>0</v>
      </c>
      <c r="CT109" s="2">
        <f t="shared" si="75"/>
        <v>0</v>
      </c>
      <c r="CU109" s="2">
        <f t="shared" si="75"/>
        <v>0</v>
      </c>
      <c r="CV109" s="2">
        <f t="shared" si="75"/>
        <v>0</v>
      </c>
      <c r="CW109" s="2">
        <f t="shared" si="75"/>
        <v>0</v>
      </c>
      <c r="CX109" s="2">
        <f t="shared" si="75"/>
        <v>0</v>
      </c>
      <c r="CY109" s="2">
        <f t="shared" si="75"/>
        <v>0</v>
      </c>
      <c r="CZ109" s="2">
        <f t="shared" si="75"/>
        <v>0</v>
      </c>
      <c r="DA109" s="2">
        <f t="shared" si="75"/>
        <v>0</v>
      </c>
      <c r="DB109" s="2">
        <f t="shared" si="75"/>
        <v>0</v>
      </c>
      <c r="DC109" s="2">
        <f t="shared" si="75"/>
        <v>0</v>
      </c>
      <c r="DD109" s="2">
        <f t="shared" si="75"/>
        <v>0</v>
      </c>
      <c r="DE109" s="2">
        <f t="shared" si="75"/>
        <v>0</v>
      </c>
      <c r="DF109" s="2">
        <f t="shared" si="75"/>
        <v>0</v>
      </c>
      <c r="DG109" s="3">
        <f t="shared" ref="DG109:EL109" si="76">DG169</f>
        <v>0</v>
      </c>
      <c r="DH109" s="3">
        <f t="shared" si="76"/>
        <v>0</v>
      </c>
      <c r="DI109" s="3">
        <f t="shared" si="76"/>
        <v>0</v>
      </c>
      <c r="DJ109" s="3">
        <f t="shared" si="76"/>
        <v>0</v>
      </c>
      <c r="DK109" s="3">
        <f t="shared" si="76"/>
        <v>0</v>
      </c>
      <c r="DL109" s="3">
        <f t="shared" si="76"/>
        <v>0</v>
      </c>
      <c r="DM109" s="3">
        <f t="shared" si="76"/>
        <v>0</v>
      </c>
      <c r="DN109" s="3">
        <f t="shared" si="76"/>
        <v>0</v>
      </c>
      <c r="DO109" s="3">
        <f t="shared" si="76"/>
        <v>0</v>
      </c>
      <c r="DP109" s="3">
        <f t="shared" si="76"/>
        <v>0</v>
      </c>
      <c r="DQ109" s="3">
        <f t="shared" si="76"/>
        <v>0</v>
      </c>
      <c r="DR109" s="3">
        <f t="shared" si="76"/>
        <v>0</v>
      </c>
      <c r="DS109" s="3">
        <f t="shared" si="76"/>
        <v>0</v>
      </c>
      <c r="DT109" s="3">
        <f t="shared" si="76"/>
        <v>0</v>
      </c>
      <c r="DU109" s="3">
        <f t="shared" si="76"/>
        <v>0</v>
      </c>
      <c r="DV109" s="3">
        <f t="shared" si="76"/>
        <v>0</v>
      </c>
      <c r="DW109" s="3">
        <f t="shared" si="76"/>
        <v>0</v>
      </c>
      <c r="DX109" s="3">
        <f t="shared" si="76"/>
        <v>0</v>
      </c>
      <c r="DY109" s="3">
        <f t="shared" si="76"/>
        <v>0</v>
      </c>
      <c r="DZ109" s="3">
        <f t="shared" si="76"/>
        <v>0</v>
      </c>
      <c r="EA109" s="3">
        <f t="shared" si="76"/>
        <v>0</v>
      </c>
      <c r="EB109" s="3">
        <f t="shared" si="76"/>
        <v>0</v>
      </c>
      <c r="EC109" s="3">
        <f t="shared" si="76"/>
        <v>0</v>
      </c>
      <c r="ED109" s="3">
        <f t="shared" si="76"/>
        <v>0</v>
      </c>
      <c r="EE109" s="3">
        <f t="shared" si="76"/>
        <v>0</v>
      </c>
      <c r="EF109" s="3">
        <f t="shared" si="76"/>
        <v>0</v>
      </c>
      <c r="EG109" s="3">
        <f t="shared" si="76"/>
        <v>0</v>
      </c>
      <c r="EH109" s="3">
        <f t="shared" si="76"/>
        <v>0</v>
      </c>
      <c r="EI109" s="3">
        <f t="shared" si="76"/>
        <v>0</v>
      </c>
      <c r="EJ109" s="3">
        <f t="shared" si="76"/>
        <v>0</v>
      </c>
      <c r="EK109" s="3">
        <f t="shared" si="76"/>
        <v>0</v>
      </c>
      <c r="EL109" s="3">
        <f t="shared" si="76"/>
        <v>0</v>
      </c>
      <c r="EM109" s="3">
        <f t="shared" ref="EM109:FR109" si="77">EM169</f>
        <v>0</v>
      </c>
      <c r="EN109" s="3">
        <f t="shared" si="77"/>
        <v>0</v>
      </c>
      <c r="EO109" s="3">
        <f t="shared" si="77"/>
        <v>0</v>
      </c>
      <c r="EP109" s="3">
        <f t="shared" si="77"/>
        <v>0</v>
      </c>
      <c r="EQ109" s="3">
        <f t="shared" si="77"/>
        <v>0</v>
      </c>
      <c r="ER109" s="3">
        <f t="shared" si="77"/>
        <v>0</v>
      </c>
      <c r="ES109" s="3">
        <f t="shared" si="77"/>
        <v>0</v>
      </c>
      <c r="ET109" s="3">
        <f t="shared" si="77"/>
        <v>0</v>
      </c>
      <c r="EU109" s="3">
        <f t="shared" si="77"/>
        <v>0</v>
      </c>
      <c r="EV109" s="3">
        <f t="shared" si="77"/>
        <v>0</v>
      </c>
      <c r="EW109" s="3">
        <f t="shared" si="77"/>
        <v>0</v>
      </c>
      <c r="EX109" s="3">
        <f t="shared" si="77"/>
        <v>0</v>
      </c>
      <c r="EY109" s="3">
        <f t="shared" si="77"/>
        <v>0</v>
      </c>
      <c r="EZ109" s="3">
        <f t="shared" si="77"/>
        <v>0</v>
      </c>
      <c r="FA109" s="3">
        <f t="shared" si="77"/>
        <v>0</v>
      </c>
      <c r="FB109" s="3">
        <f t="shared" si="77"/>
        <v>0</v>
      </c>
      <c r="FC109" s="3">
        <f t="shared" si="77"/>
        <v>0</v>
      </c>
      <c r="FD109" s="3">
        <f t="shared" si="77"/>
        <v>0</v>
      </c>
      <c r="FE109" s="3">
        <f t="shared" si="77"/>
        <v>0</v>
      </c>
      <c r="FF109" s="3">
        <f t="shared" si="77"/>
        <v>0</v>
      </c>
      <c r="FG109" s="3">
        <f t="shared" si="77"/>
        <v>0</v>
      </c>
      <c r="FH109" s="3">
        <f t="shared" si="77"/>
        <v>0</v>
      </c>
      <c r="FI109" s="3">
        <f t="shared" si="77"/>
        <v>0</v>
      </c>
      <c r="FJ109" s="3">
        <f t="shared" si="77"/>
        <v>0</v>
      </c>
      <c r="FK109" s="3">
        <f t="shared" si="77"/>
        <v>0</v>
      </c>
      <c r="FL109" s="3">
        <f t="shared" si="77"/>
        <v>0</v>
      </c>
      <c r="FM109" s="3">
        <f t="shared" si="77"/>
        <v>0</v>
      </c>
      <c r="FN109" s="3">
        <f t="shared" si="77"/>
        <v>0</v>
      </c>
      <c r="FO109" s="3">
        <f t="shared" si="77"/>
        <v>0</v>
      </c>
      <c r="FP109" s="3">
        <f t="shared" si="77"/>
        <v>0</v>
      </c>
      <c r="FQ109" s="3">
        <f t="shared" si="77"/>
        <v>0</v>
      </c>
      <c r="FR109" s="3">
        <f t="shared" si="77"/>
        <v>0</v>
      </c>
      <c r="FS109" s="3">
        <f t="shared" ref="FS109:GX109" si="78">FS169</f>
        <v>0</v>
      </c>
      <c r="FT109" s="3">
        <f t="shared" si="78"/>
        <v>0</v>
      </c>
      <c r="FU109" s="3">
        <f t="shared" si="78"/>
        <v>0</v>
      </c>
      <c r="FV109" s="3">
        <f t="shared" si="78"/>
        <v>0</v>
      </c>
      <c r="FW109" s="3">
        <f t="shared" si="78"/>
        <v>0</v>
      </c>
      <c r="FX109" s="3">
        <f t="shared" si="78"/>
        <v>0</v>
      </c>
      <c r="FY109" s="3">
        <f t="shared" si="78"/>
        <v>0</v>
      </c>
      <c r="FZ109" s="3">
        <f t="shared" si="78"/>
        <v>0</v>
      </c>
      <c r="GA109" s="3">
        <f t="shared" si="78"/>
        <v>0</v>
      </c>
      <c r="GB109" s="3">
        <f t="shared" si="78"/>
        <v>0</v>
      </c>
      <c r="GC109" s="3">
        <f t="shared" si="78"/>
        <v>0</v>
      </c>
      <c r="GD109" s="3">
        <f t="shared" si="78"/>
        <v>0</v>
      </c>
      <c r="GE109" s="3">
        <f t="shared" si="78"/>
        <v>0</v>
      </c>
      <c r="GF109" s="3">
        <f t="shared" si="78"/>
        <v>0</v>
      </c>
      <c r="GG109" s="3">
        <f t="shared" si="78"/>
        <v>0</v>
      </c>
      <c r="GH109" s="3">
        <f t="shared" si="78"/>
        <v>0</v>
      </c>
      <c r="GI109" s="3">
        <f t="shared" si="78"/>
        <v>0</v>
      </c>
      <c r="GJ109" s="3">
        <f t="shared" si="78"/>
        <v>0</v>
      </c>
      <c r="GK109" s="3">
        <f t="shared" si="78"/>
        <v>0</v>
      </c>
      <c r="GL109" s="3">
        <f t="shared" si="78"/>
        <v>0</v>
      </c>
      <c r="GM109" s="3">
        <f t="shared" si="78"/>
        <v>0</v>
      </c>
      <c r="GN109" s="3">
        <f t="shared" si="78"/>
        <v>0</v>
      </c>
      <c r="GO109" s="3">
        <f t="shared" si="78"/>
        <v>0</v>
      </c>
      <c r="GP109" s="3">
        <f t="shared" si="78"/>
        <v>0</v>
      </c>
      <c r="GQ109" s="3">
        <f t="shared" si="78"/>
        <v>0</v>
      </c>
      <c r="GR109" s="3">
        <f t="shared" si="78"/>
        <v>0</v>
      </c>
      <c r="GS109" s="3">
        <f t="shared" si="78"/>
        <v>0</v>
      </c>
      <c r="GT109" s="3">
        <f t="shared" si="78"/>
        <v>0</v>
      </c>
      <c r="GU109" s="3">
        <f t="shared" si="78"/>
        <v>0</v>
      </c>
      <c r="GV109" s="3">
        <f t="shared" si="78"/>
        <v>0</v>
      </c>
      <c r="GW109" s="3">
        <f t="shared" si="78"/>
        <v>0</v>
      </c>
      <c r="GX109" s="3">
        <f t="shared" si="78"/>
        <v>0</v>
      </c>
    </row>
    <row r="111" spans="1:245" x14ac:dyDescent="0.2">
      <c r="A111">
        <v>19</v>
      </c>
      <c r="B111">
        <v>1</v>
      </c>
      <c r="F111" t="s">
        <v>3</v>
      </c>
      <c r="G111" t="s">
        <v>112</v>
      </c>
      <c r="H111" t="s">
        <v>3</v>
      </c>
      <c r="AA111">
        <v>1</v>
      </c>
      <c r="IK111">
        <v>0</v>
      </c>
    </row>
    <row r="112" spans="1:245" x14ac:dyDescent="0.2">
      <c r="A112">
        <v>17</v>
      </c>
      <c r="B112">
        <v>1</v>
      </c>
      <c r="D112">
        <f>ROW(EtalonRes!A27)</f>
        <v>27</v>
      </c>
      <c r="E112" t="s">
        <v>113</v>
      </c>
      <c r="F112" t="s">
        <v>114</v>
      </c>
      <c r="G112" t="s">
        <v>115</v>
      </c>
      <c r="H112" t="s">
        <v>31</v>
      </c>
      <c r="I112">
        <f>ROUND(1,9)</f>
        <v>1</v>
      </c>
      <c r="J112">
        <v>0</v>
      </c>
      <c r="K112">
        <f>ROUND(1,9)</f>
        <v>1</v>
      </c>
      <c r="O112">
        <f t="shared" ref="O112:O117" si="79">ROUND(CP112,2)</f>
        <v>1631.48</v>
      </c>
      <c r="P112">
        <f t="shared" ref="P112:P117" si="80">ROUND(CQ112*I112,2)</f>
        <v>0</v>
      </c>
      <c r="Q112">
        <f t="shared" ref="Q112:Q117" si="81">ROUND(CR112*I112,2)</f>
        <v>0</v>
      </c>
      <c r="R112">
        <f t="shared" ref="R112:R117" si="82">ROUND(CS112*I112,2)</f>
        <v>0</v>
      </c>
      <c r="S112">
        <f t="shared" ref="S112:S117" si="83">ROUND(CT112*I112,2)</f>
        <v>1631.48</v>
      </c>
      <c r="T112">
        <f t="shared" ref="T112:T117" si="84">ROUND(CU112*I112,2)</f>
        <v>0</v>
      </c>
      <c r="U112">
        <f t="shared" ref="U112:U117" si="85">CV112*I112</f>
        <v>2.12</v>
      </c>
      <c r="V112">
        <f t="shared" ref="V112:V117" si="86">CW112*I112</f>
        <v>0</v>
      </c>
      <c r="W112">
        <f t="shared" ref="W112:W117" si="87">ROUND(CX112*I112,2)</f>
        <v>0</v>
      </c>
      <c r="X112">
        <f t="shared" ref="X112:Y117" si="88">ROUND(CY112,2)</f>
        <v>1142.04</v>
      </c>
      <c r="Y112">
        <f t="shared" si="88"/>
        <v>163.15</v>
      </c>
      <c r="AA112">
        <v>1471988752</v>
      </c>
      <c r="AB112">
        <f t="shared" ref="AB112:AB117" si="89">ROUND((AC112+AD112+AF112),6)</f>
        <v>1631.48</v>
      </c>
      <c r="AC112">
        <f>ROUND(((ES112*2)),6)</f>
        <v>0</v>
      </c>
      <c r="AD112">
        <f>ROUND(((((ET112*2))-((EU112*2)))+AE112),6)</f>
        <v>0</v>
      </c>
      <c r="AE112">
        <f>ROUND(((EU112*2)),6)</f>
        <v>0</v>
      </c>
      <c r="AF112">
        <f>ROUND(((EV112*2)),6)</f>
        <v>1631.48</v>
      </c>
      <c r="AG112">
        <f t="shared" ref="AG112:AG117" si="90">ROUND((AP112),6)</f>
        <v>0</v>
      </c>
      <c r="AH112">
        <f>((EW112*2))</f>
        <v>2.12</v>
      </c>
      <c r="AI112">
        <f>((EX112*2))</f>
        <v>0</v>
      </c>
      <c r="AJ112">
        <f t="shared" ref="AJ112:AJ117" si="91">(AS112)</f>
        <v>0</v>
      </c>
      <c r="AK112">
        <v>815.74</v>
      </c>
      <c r="AL112">
        <v>0</v>
      </c>
      <c r="AM112">
        <v>0</v>
      </c>
      <c r="AN112">
        <v>0</v>
      </c>
      <c r="AO112">
        <v>815.74</v>
      </c>
      <c r="AP112">
        <v>0</v>
      </c>
      <c r="AQ112">
        <v>1.06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116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17" si="92">(P112+Q112+S112)</f>
        <v>1631.48</v>
      </c>
      <c r="CQ112">
        <f t="shared" ref="CQ112:CQ117" si="93">(AC112*BC112*AW112)</f>
        <v>0</v>
      </c>
      <c r="CR112">
        <f>(((((ET112*2))*BB112-((EU112*2))*BS112)+AE112*BS112)*AV112)</f>
        <v>0</v>
      </c>
      <c r="CS112">
        <f t="shared" ref="CS112:CS117" si="94">(AE112*BS112*AV112)</f>
        <v>0</v>
      </c>
      <c r="CT112">
        <f t="shared" ref="CT112:CT117" si="95">(AF112*BA112*AV112)</f>
        <v>1631.48</v>
      </c>
      <c r="CU112">
        <f t="shared" ref="CU112:CU117" si="96">AG112</f>
        <v>0</v>
      </c>
      <c r="CV112">
        <f t="shared" ref="CV112:CV117" si="97">(AH112*AV112)</f>
        <v>2.12</v>
      </c>
      <c r="CW112">
        <f t="shared" ref="CW112:CX117" si="98">AI112</f>
        <v>0</v>
      </c>
      <c r="CX112">
        <f t="shared" si="98"/>
        <v>0</v>
      </c>
      <c r="CY112">
        <f t="shared" ref="CY112:CY117" si="99">((S112*BZ112)/100)</f>
        <v>1142.0360000000001</v>
      </c>
      <c r="CZ112">
        <f t="shared" ref="CZ112:CZ117" si="100">((S112*CA112)/100)</f>
        <v>163.148</v>
      </c>
      <c r="DC112" t="s">
        <v>3</v>
      </c>
      <c r="DD112" t="s">
        <v>117</v>
      </c>
      <c r="DE112" t="s">
        <v>117</v>
      </c>
      <c r="DF112" t="s">
        <v>117</v>
      </c>
      <c r="DG112" t="s">
        <v>117</v>
      </c>
      <c r="DH112" t="s">
        <v>3</v>
      </c>
      <c r="DI112" t="s">
        <v>117</v>
      </c>
      <c r="DJ112" t="s">
        <v>117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31</v>
      </c>
      <c r="DW112" t="s">
        <v>31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19</v>
      </c>
      <c r="EH112">
        <v>0</v>
      </c>
      <c r="EI112" t="s">
        <v>3</v>
      </c>
      <c r="EJ112">
        <v>4</v>
      </c>
      <c r="EK112">
        <v>0</v>
      </c>
      <c r="EL112" t="s">
        <v>20</v>
      </c>
      <c r="EM112" t="s">
        <v>21</v>
      </c>
      <c r="EO112" t="s">
        <v>3</v>
      </c>
      <c r="EQ112">
        <v>0</v>
      </c>
      <c r="ER112">
        <v>815.74</v>
      </c>
      <c r="ES112">
        <v>0</v>
      </c>
      <c r="ET112">
        <v>0</v>
      </c>
      <c r="EU112">
        <v>0</v>
      </c>
      <c r="EV112">
        <v>815.74</v>
      </c>
      <c r="EW112">
        <v>1.06</v>
      </c>
      <c r="EX112">
        <v>0</v>
      </c>
      <c r="EY112">
        <v>0</v>
      </c>
      <c r="FQ112">
        <v>0</v>
      </c>
      <c r="FR112">
        <f t="shared" ref="FR112:FR117" si="101"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-1935728020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 t="shared" ref="GL112:GL117" si="102">ROUND(IF(AND(BH112=3,BI112=3,FS112&lt;&gt;0),P112,0),2)</f>
        <v>0</v>
      </c>
      <c r="GM112">
        <f t="shared" ref="GM112:GM117" si="103">ROUND(O112+X112+Y112+GK112,2)+GX112</f>
        <v>2936.67</v>
      </c>
      <c r="GN112">
        <f t="shared" ref="GN112:GN117" si="104">IF(OR(BI112=0,BI112=1),GM112-GX112,0)</f>
        <v>0</v>
      </c>
      <c r="GO112">
        <f t="shared" ref="GO112:GO117" si="105">IF(BI112=2,GM112-GX112,0)</f>
        <v>0</v>
      </c>
      <c r="GP112">
        <f t="shared" ref="GP112:GP117" si="106">IF(BI112=4,GM112-GX112,0)</f>
        <v>2936.67</v>
      </c>
      <c r="GR112">
        <v>0</v>
      </c>
      <c r="GS112">
        <v>3</v>
      </c>
      <c r="GT112">
        <v>0</v>
      </c>
      <c r="GU112" t="s">
        <v>3</v>
      </c>
      <c r="GV112">
        <f t="shared" ref="GV112:GV117" si="107">ROUND((GT112),6)</f>
        <v>0</v>
      </c>
      <c r="GW112">
        <v>1</v>
      </c>
      <c r="GX112">
        <f t="shared" ref="GX112:GX117" si="108">ROUND(HC112*I112,2)</f>
        <v>0</v>
      </c>
      <c r="HA112">
        <v>0</v>
      </c>
      <c r="HB112">
        <v>0</v>
      </c>
      <c r="HC112">
        <f t="shared" ref="HC112:HC117" si="109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ROW(EtalonRes!A28)</f>
        <v>28</v>
      </c>
      <c r="E113" t="s">
        <v>118</v>
      </c>
      <c r="F113" t="s">
        <v>119</v>
      </c>
      <c r="G113" t="s">
        <v>120</v>
      </c>
      <c r="H113" t="s">
        <v>17</v>
      </c>
      <c r="I113">
        <f>ROUND((40+20)/100,9)</f>
        <v>0.6</v>
      </c>
      <c r="J113">
        <v>0</v>
      </c>
      <c r="K113">
        <f>ROUND((40+20)/100,9)</f>
        <v>0.6</v>
      </c>
      <c r="O113">
        <f t="shared" si="79"/>
        <v>298.06</v>
      </c>
      <c r="P113">
        <f t="shared" si="80"/>
        <v>0</v>
      </c>
      <c r="Q113">
        <f t="shared" si="81"/>
        <v>0</v>
      </c>
      <c r="R113">
        <f t="shared" si="82"/>
        <v>0</v>
      </c>
      <c r="S113">
        <f t="shared" si="83"/>
        <v>298.06</v>
      </c>
      <c r="T113">
        <f t="shared" si="84"/>
        <v>0</v>
      </c>
      <c r="U113">
        <f t="shared" si="85"/>
        <v>0.42</v>
      </c>
      <c r="V113">
        <f t="shared" si="86"/>
        <v>0</v>
      </c>
      <c r="W113">
        <f t="shared" si="87"/>
        <v>0</v>
      </c>
      <c r="X113">
        <f t="shared" si="88"/>
        <v>208.64</v>
      </c>
      <c r="Y113">
        <f t="shared" si="88"/>
        <v>29.81</v>
      </c>
      <c r="AA113">
        <v>1471988752</v>
      </c>
      <c r="AB113">
        <f t="shared" si="89"/>
        <v>496.76</v>
      </c>
      <c r="AC113">
        <f>ROUND((ES113),6)</f>
        <v>0</v>
      </c>
      <c r="AD113">
        <f>ROUND((((ET113)-(EU113))+AE113),6)</f>
        <v>0</v>
      </c>
      <c r="AE113">
        <f>ROUND((EU113),6)</f>
        <v>0</v>
      </c>
      <c r="AF113">
        <f>ROUND((EV113),6)</f>
        <v>496.76</v>
      </c>
      <c r="AG113">
        <f t="shared" si="90"/>
        <v>0</v>
      </c>
      <c r="AH113">
        <f>(EW113)</f>
        <v>0.7</v>
      </c>
      <c r="AI113">
        <f>(EX113)</f>
        <v>0</v>
      </c>
      <c r="AJ113">
        <f t="shared" si="91"/>
        <v>0</v>
      </c>
      <c r="AK113">
        <v>496.76</v>
      </c>
      <c r="AL113">
        <v>0</v>
      </c>
      <c r="AM113">
        <v>0</v>
      </c>
      <c r="AN113">
        <v>0</v>
      </c>
      <c r="AO113">
        <v>496.76</v>
      </c>
      <c r="AP113">
        <v>0</v>
      </c>
      <c r="AQ113">
        <v>0.7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121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2"/>
        <v>298.06</v>
      </c>
      <c r="CQ113">
        <f t="shared" si="93"/>
        <v>0</v>
      </c>
      <c r="CR113">
        <f>((((ET113)*BB113-(EU113)*BS113)+AE113*BS113)*AV113)</f>
        <v>0</v>
      </c>
      <c r="CS113">
        <f t="shared" si="94"/>
        <v>0</v>
      </c>
      <c r="CT113">
        <f t="shared" si="95"/>
        <v>496.76</v>
      </c>
      <c r="CU113">
        <f t="shared" si="96"/>
        <v>0</v>
      </c>
      <c r="CV113">
        <f t="shared" si="97"/>
        <v>0.7</v>
      </c>
      <c r="CW113">
        <f t="shared" si="98"/>
        <v>0</v>
      </c>
      <c r="CX113">
        <f t="shared" si="98"/>
        <v>0</v>
      </c>
      <c r="CY113">
        <f t="shared" si="99"/>
        <v>208.642</v>
      </c>
      <c r="CZ113">
        <f t="shared" si="100"/>
        <v>29.805999999999997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17</v>
      </c>
      <c r="DW113" t="s">
        <v>17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19</v>
      </c>
      <c r="EH113">
        <v>0</v>
      </c>
      <c r="EI113" t="s">
        <v>3</v>
      </c>
      <c r="EJ113">
        <v>4</v>
      </c>
      <c r="EK113">
        <v>0</v>
      </c>
      <c r="EL113" t="s">
        <v>20</v>
      </c>
      <c r="EM113" t="s">
        <v>21</v>
      </c>
      <c r="EO113" t="s">
        <v>3</v>
      </c>
      <c r="EQ113">
        <v>0</v>
      </c>
      <c r="ER113">
        <v>496.76</v>
      </c>
      <c r="ES113">
        <v>0</v>
      </c>
      <c r="ET113">
        <v>0</v>
      </c>
      <c r="EU113">
        <v>0</v>
      </c>
      <c r="EV113">
        <v>496.76</v>
      </c>
      <c r="EW113">
        <v>0.7</v>
      </c>
      <c r="EX113">
        <v>0</v>
      </c>
      <c r="EY113">
        <v>0</v>
      </c>
      <c r="FQ113">
        <v>0</v>
      </c>
      <c r="FR113">
        <f t="shared" si="101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-1307125436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02"/>
        <v>0</v>
      </c>
      <c r="GM113">
        <f t="shared" si="103"/>
        <v>536.51</v>
      </c>
      <c r="GN113">
        <f t="shared" si="104"/>
        <v>0</v>
      </c>
      <c r="GO113">
        <f t="shared" si="105"/>
        <v>0</v>
      </c>
      <c r="GP113">
        <f t="shared" si="106"/>
        <v>536.51</v>
      </c>
      <c r="GR113">
        <v>0</v>
      </c>
      <c r="GS113">
        <v>3</v>
      </c>
      <c r="GT113">
        <v>0</v>
      </c>
      <c r="GU113" t="s">
        <v>3</v>
      </c>
      <c r="GV113">
        <f t="shared" si="107"/>
        <v>0</v>
      </c>
      <c r="GW113">
        <v>1</v>
      </c>
      <c r="GX113">
        <f t="shared" si="108"/>
        <v>0</v>
      </c>
      <c r="HA113">
        <v>0</v>
      </c>
      <c r="HB113">
        <v>0</v>
      </c>
      <c r="HC113">
        <f t="shared" si="109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D114">
        <f>ROW(EtalonRes!A31)</f>
        <v>31</v>
      </c>
      <c r="E114" t="s">
        <v>122</v>
      </c>
      <c r="F114" t="s">
        <v>123</v>
      </c>
      <c r="G114" t="s">
        <v>124</v>
      </c>
      <c r="H114" t="s">
        <v>31</v>
      </c>
      <c r="I114">
        <v>1</v>
      </c>
      <c r="J114">
        <v>0</v>
      </c>
      <c r="K114">
        <v>1</v>
      </c>
      <c r="O114">
        <f t="shared" si="79"/>
        <v>3024.38</v>
      </c>
      <c r="P114">
        <f t="shared" si="80"/>
        <v>38.28</v>
      </c>
      <c r="Q114">
        <f t="shared" si="81"/>
        <v>0</v>
      </c>
      <c r="R114">
        <f t="shared" si="82"/>
        <v>0</v>
      </c>
      <c r="S114">
        <f t="shared" si="83"/>
        <v>2986.1</v>
      </c>
      <c r="T114">
        <f t="shared" si="84"/>
        <v>0</v>
      </c>
      <c r="U114">
        <f t="shared" si="85"/>
        <v>3.6</v>
      </c>
      <c r="V114">
        <f t="shared" si="86"/>
        <v>0</v>
      </c>
      <c r="W114">
        <f t="shared" si="87"/>
        <v>0</v>
      </c>
      <c r="X114">
        <f t="shared" si="88"/>
        <v>2090.27</v>
      </c>
      <c r="Y114">
        <f t="shared" si="88"/>
        <v>298.61</v>
      </c>
      <c r="AA114">
        <v>1471988752</v>
      </c>
      <c r="AB114">
        <f t="shared" si="89"/>
        <v>3024.38</v>
      </c>
      <c r="AC114">
        <f>ROUND(((ES114*2)),6)</f>
        <v>38.28</v>
      </c>
      <c r="AD114">
        <f>ROUND(((((ET114*2))-((EU114*2)))+AE114),6)</f>
        <v>0</v>
      </c>
      <c r="AE114">
        <f t="shared" ref="AE114:AF117" si="110">ROUND(((EU114*2)),6)</f>
        <v>0</v>
      </c>
      <c r="AF114">
        <f t="shared" si="110"/>
        <v>2986.1</v>
      </c>
      <c r="AG114">
        <f t="shared" si="90"/>
        <v>0</v>
      </c>
      <c r="AH114">
        <f t="shared" ref="AH114:AI117" si="111">((EW114*2))</f>
        <v>3.6</v>
      </c>
      <c r="AI114">
        <f t="shared" si="111"/>
        <v>0</v>
      </c>
      <c r="AJ114">
        <f t="shared" si="91"/>
        <v>0</v>
      </c>
      <c r="AK114">
        <v>1512.19</v>
      </c>
      <c r="AL114">
        <v>19.14</v>
      </c>
      <c r="AM114">
        <v>0</v>
      </c>
      <c r="AN114">
        <v>0</v>
      </c>
      <c r="AO114">
        <v>1493.05</v>
      </c>
      <c r="AP114">
        <v>0</v>
      </c>
      <c r="AQ114">
        <v>1.8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125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2"/>
        <v>3024.38</v>
      </c>
      <c r="CQ114">
        <f t="shared" si="93"/>
        <v>38.28</v>
      </c>
      <c r="CR114">
        <f>(((((ET114*2))*BB114-((EU114*2))*BS114)+AE114*BS114)*AV114)</f>
        <v>0</v>
      </c>
      <c r="CS114">
        <f t="shared" si="94"/>
        <v>0</v>
      </c>
      <c r="CT114">
        <f t="shared" si="95"/>
        <v>2986.1</v>
      </c>
      <c r="CU114">
        <f t="shared" si="96"/>
        <v>0</v>
      </c>
      <c r="CV114">
        <f t="shared" si="97"/>
        <v>3.6</v>
      </c>
      <c r="CW114">
        <f t="shared" si="98"/>
        <v>0</v>
      </c>
      <c r="CX114">
        <f t="shared" si="98"/>
        <v>0</v>
      </c>
      <c r="CY114">
        <f t="shared" si="99"/>
        <v>2090.27</v>
      </c>
      <c r="CZ114">
        <f t="shared" si="100"/>
        <v>298.61</v>
      </c>
      <c r="DC114" t="s">
        <v>3</v>
      </c>
      <c r="DD114" t="s">
        <v>117</v>
      </c>
      <c r="DE114" t="s">
        <v>117</v>
      </c>
      <c r="DF114" t="s">
        <v>117</v>
      </c>
      <c r="DG114" t="s">
        <v>117</v>
      </c>
      <c r="DH114" t="s">
        <v>3</v>
      </c>
      <c r="DI114" t="s">
        <v>117</v>
      </c>
      <c r="DJ114" t="s">
        <v>117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31</v>
      </c>
      <c r="DW114" t="s">
        <v>31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19</v>
      </c>
      <c r="EH114">
        <v>0</v>
      </c>
      <c r="EI114" t="s">
        <v>3</v>
      </c>
      <c r="EJ114">
        <v>4</v>
      </c>
      <c r="EK114">
        <v>0</v>
      </c>
      <c r="EL114" t="s">
        <v>20</v>
      </c>
      <c r="EM114" t="s">
        <v>21</v>
      </c>
      <c r="EO114" t="s">
        <v>3</v>
      </c>
      <c r="EQ114">
        <v>1835008</v>
      </c>
      <c r="ER114">
        <v>1512.19</v>
      </c>
      <c r="ES114">
        <v>19.14</v>
      </c>
      <c r="ET114">
        <v>0</v>
      </c>
      <c r="EU114">
        <v>0</v>
      </c>
      <c r="EV114">
        <v>1493.05</v>
      </c>
      <c r="EW114">
        <v>1.8</v>
      </c>
      <c r="EX114">
        <v>0</v>
      </c>
      <c r="EY114">
        <v>0</v>
      </c>
      <c r="FQ114">
        <v>0</v>
      </c>
      <c r="FR114">
        <f t="shared" si="101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259536781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02"/>
        <v>0</v>
      </c>
      <c r="GM114">
        <f t="shared" si="103"/>
        <v>5413.26</v>
      </c>
      <c r="GN114">
        <f t="shared" si="104"/>
        <v>0</v>
      </c>
      <c r="GO114">
        <f t="shared" si="105"/>
        <v>0</v>
      </c>
      <c r="GP114">
        <f t="shared" si="106"/>
        <v>5413.26</v>
      </c>
      <c r="GR114">
        <v>0</v>
      </c>
      <c r="GS114">
        <v>3</v>
      </c>
      <c r="GT114">
        <v>0</v>
      </c>
      <c r="GU114" t="s">
        <v>3</v>
      </c>
      <c r="GV114">
        <f t="shared" si="107"/>
        <v>0</v>
      </c>
      <c r="GW114">
        <v>1</v>
      </c>
      <c r="GX114">
        <f t="shared" si="108"/>
        <v>0</v>
      </c>
      <c r="HA114">
        <v>0</v>
      </c>
      <c r="HB114">
        <v>0</v>
      </c>
      <c r="HC114">
        <f t="shared" si="109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D115">
        <f>ROW(EtalonRes!A32)</f>
        <v>32</v>
      </c>
      <c r="E115" t="s">
        <v>126</v>
      </c>
      <c r="F115" t="s">
        <v>127</v>
      </c>
      <c r="G115" t="s">
        <v>128</v>
      </c>
      <c r="H115" t="s">
        <v>31</v>
      </c>
      <c r="I115">
        <v>2</v>
      </c>
      <c r="J115">
        <v>0</v>
      </c>
      <c r="K115">
        <v>2</v>
      </c>
      <c r="O115">
        <f t="shared" si="79"/>
        <v>3285.04</v>
      </c>
      <c r="P115">
        <f t="shared" si="80"/>
        <v>0</v>
      </c>
      <c r="Q115">
        <f t="shared" si="81"/>
        <v>0</v>
      </c>
      <c r="R115">
        <f t="shared" si="82"/>
        <v>0</v>
      </c>
      <c r="S115">
        <f t="shared" si="83"/>
        <v>3285.04</v>
      </c>
      <c r="T115">
        <f t="shared" si="84"/>
        <v>0</v>
      </c>
      <c r="U115">
        <f t="shared" si="85"/>
        <v>5.32</v>
      </c>
      <c r="V115">
        <f t="shared" si="86"/>
        <v>0</v>
      </c>
      <c r="W115">
        <f t="shared" si="87"/>
        <v>0</v>
      </c>
      <c r="X115">
        <f t="shared" si="88"/>
        <v>2299.5300000000002</v>
      </c>
      <c r="Y115">
        <f t="shared" si="88"/>
        <v>328.5</v>
      </c>
      <c r="AA115">
        <v>1471988752</v>
      </c>
      <c r="AB115">
        <f t="shared" si="89"/>
        <v>1642.52</v>
      </c>
      <c r="AC115">
        <f>ROUND(((ES115*2)),6)</f>
        <v>0</v>
      </c>
      <c r="AD115">
        <f>ROUND(((((ET115*2))-((EU115*2)))+AE115),6)</f>
        <v>0</v>
      </c>
      <c r="AE115">
        <f t="shared" si="110"/>
        <v>0</v>
      </c>
      <c r="AF115">
        <f t="shared" si="110"/>
        <v>1642.52</v>
      </c>
      <c r="AG115">
        <f t="shared" si="90"/>
        <v>0</v>
      </c>
      <c r="AH115">
        <f t="shared" si="111"/>
        <v>2.66</v>
      </c>
      <c r="AI115">
        <f t="shared" si="111"/>
        <v>0</v>
      </c>
      <c r="AJ115">
        <f t="shared" si="91"/>
        <v>0</v>
      </c>
      <c r="AK115">
        <v>821.26</v>
      </c>
      <c r="AL115">
        <v>0</v>
      </c>
      <c r="AM115">
        <v>0</v>
      </c>
      <c r="AN115">
        <v>0</v>
      </c>
      <c r="AO115">
        <v>821.26</v>
      </c>
      <c r="AP115">
        <v>0</v>
      </c>
      <c r="AQ115">
        <v>1.33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129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2"/>
        <v>3285.04</v>
      </c>
      <c r="CQ115">
        <f t="shared" si="93"/>
        <v>0</v>
      </c>
      <c r="CR115">
        <f>(((((ET115*2))*BB115-((EU115*2))*BS115)+AE115*BS115)*AV115)</f>
        <v>0</v>
      </c>
      <c r="CS115">
        <f t="shared" si="94"/>
        <v>0</v>
      </c>
      <c r="CT115">
        <f t="shared" si="95"/>
        <v>1642.52</v>
      </c>
      <c r="CU115">
        <f t="shared" si="96"/>
        <v>0</v>
      </c>
      <c r="CV115">
        <f t="shared" si="97"/>
        <v>2.66</v>
      </c>
      <c r="CW115">
        <f t="shared" si="98"/>
        <v>0</v>
      </c>
      <c r="CX115">
        <f t="shared" si="98"/>
        <v>0</v>
      </c>
      <c r="CY115">
        <f t="shared" si="99"/>
        <v>2299.5279999999998</v>
      </c>
      <c r="CZ115">
        <f t="shared" si="100"/>
        <v>328.50400000000002</v>
      </c>
      <c r="DC115" t="s">
        <v>3</v>
      </c>
      <c r="DD115" t="s">
        <v>117</v>
      </c>
      <c r="DE115" t="s">
        <v>117</v>
      </c>
      <c r="DF115" t="s">
        <v>117</v>
      </c>
      <c r="DG115" t="s">
        <v>117</v>
      </c>
      <c r="DH115" t="s">
        <v>3</v>
      </c>
      <c r="DI115" t="s">
        <v>117</v>
      </c>
      <c r="DJ115" t="s">
        <v>117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31</v>
      </c>
      <c r="DW115" t="s">
        <v>31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19</v>
      </c>
      <c r="EH115">
        <v>0</v>
      </c>
      <c r="EI115" t="s">
        <v>3</v>
      </c>
      <c r="EJ115">
        <v>4</v>
      </c>
      <c r="EK115">
        <v>0</v>
      </c>
      <c r="EL115" t="s">
        <v>20</v>
      </c>
      <c r="EM115" t="s">
        <v>21</v>
      </c>
      <c r="EO115" t="s">
        <v>3</v>
      </c>
      <c r="EQ115">
        <v>1835008</v>
      </c>
      <c r="ER115">
        <v>821.26</v>
      </c>
      <c r="ES115">
        <v>0</v>
      </c>
      <c r="ET115">
        <v>0</v>
      </c>
      <c r="EU115">
        <v>0</v>
      </c>
      <c r="EV115">
        <v>821.26</v>
      </c>
      <c r="EW115">
        <v>1.33</v>
      </c>
      <c r="EX115">
        <v>0</v>
      </c>
      <c r="EY115">
        <v>0</v>
      </c>
      <c r="FQ115">
        <v>0</v>
      </c>
      <c r="FR115">
        <f t="shared" si="101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-441920316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02"/>
        <v>0</v>
      </c>
      <c r="GM115">
        <f t="shared" si="103"/>
        <v>5913.07</v>
      </c>
      <c r="GN115">
        <f t="shared" si="104"/>
        <v>0</v>
      </c>
      <c r="GO115">
        <f t="shared" si="105"/>
        <v>0</v>
      </c>
      <c r="GP115">
        <f t="shared" si="106"/>
        <v>5913.07</v>
      </c>
      <c r="GR115">
        <v>0</v>
      </c>
      <c r="GS115">
        <v>3</v>
      </c>
      <c r="GT115">
        <v>0</v>
      </c>
      <c r="GU115" t="s">
        <v>3</v>
      </c>
      <c r="GV115">
        <f t="shared" si="107"/>
        <v>0</v>
      </c>
      <c r="GW115">
        <v>1</v>
      </c>
      <c r="GX115">
        <f t="shared" si="108"/>
        <v>0</v>
      </c>
      <c r="HA115">
        <v>0</v>
      </c>
      <c r="HB115">
        <v>0</v>
      </c>
      <c r="HC115">
        <f t="shared" si="109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D116">
        <f>ROW(EtalonRes!A36)</f>
        <v>36</v>
      </c>
      <c r="E116" t="s">
        <v>130</v>
      </c>
      <c r="F116" t="s">
        <v>131</v>
      </c>
      <c r="G116" t="s">
        <v>132</v>
      </c>
      <c r="H116" t="s">
        <v>31</v>
      </c>
      <c r="I116">
        <v>2</v>
      </c>
      <c r="J116">
        <v>0</v>
      </c>
      <c r="K116">
        <v>2</v>
      </c>
      <c r="O116">
        <f t="shared" si="79"/>
        <v>1415.12</v>
      </c>
      <c r="P116">
        <f t="shared" si="80"/>
        <v>80.959999999999994</v>
      </c>
      <c r="Q116">
        <f t="shared" si="81"/>
        <v>0</v>
      </c>
      <c r="R116">
        <f t="shared" si="82"/>
        <v>0</v>
      </c>
      <c r="S116">
        <f t="shared" si="83"/>
        <v>1334.16</v>
      </c>
      <c r="T116">
        <f t="shared" si="84"/>
        <v>0</v>
      </c>
      <c r="U116">
        <f t="shared" si="85"/>
        <v>1.88</v>
      </c>
      <c r="V116">
        <f t="shared" si="86"/>
        <v>0</v>
      </c>
      <c r="W116">
        <f t="shared" si="87"/>
        <v>0</v>
      </c>
      <c r="X116">
        <f t="shared" si="88"/>
        <v>933.91</v>
      </c>
      <c r="Y116">
        <f t="shared" si="88"/>
        <v>133.41999999999999</v>
      </c>
      <c r="AA116">
        <v>1471988752</v>
      </c>
      <c r="AB116">
        <f t="shared" si="89"/>
        <v>707.56</v>
      </c>
      <c r="AC116">
        <f>ROUND(((ES116*2)),6)</f>
        <v>40.479999999999997</v>
      </c>
      <c r="AD116">
        <f>ROUND(((((ET116*2))-((EU116*2)))+AE116),6)</f>
        <v>0</v>
      </c>
      <c r="AE116">
        <f t="shared" si="110"/>
        <v>0</v>
      </c>
      <c r="AF116">
        <f t="shared" si="110"/>
        <v>667.08</v>
      </c>
      <c r="AG116">
        <f t="shared" si="90"/>
        <v>0</v>
      </c>
      <c r="AH116">
        <f t="shared" si="111"/>
        <v>0.94</v>
      </c>
      <c r="AI116">
        <f t="shared" si="111"/>
        <v>0</v>
      </c>
      <c r="AJ116">
        <f t="shared" si="91"/>
        <v>0</v>
      </c>
      <c r="AK116">
        <v>353.78</v>
      </c>
      <c r="AL116">
        <v>20.239999999999998</v>
      </c>
      <c r="AM116">
        <v>0</v>
      </c>
      <c r="AN116">
        <v>0</v>
      </c>
      <c r="AO116">
        <v>333.54</v>
      </c>
      <c r="AP116">
        <v>0</v>
      </c>
      <c r="AQ116">
        <v>0.47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133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2"/>
        <v>1415.1200000000001</v>
      </c>
      <c r="CQ116">
        <f t="shared" si="93"/>
        <v>40.479999999999997</v>
      </c>
      <c r="CR116">
        <f>(((((ET116*2))*BB116-((EU116*2))*BS116)+AE116*BS116)*AV116)</f>
        <v>0</v>
      </c>
      <c r="CS116">
        <f t="shared" si="94"/>
        <v>0</v>
      </c>
      <c r="CT116">
        <f t="shared" si="95"/>
        <v>667.08</v>
      </c>
      <c r="CU116">
        <f t="shared" si="96"/>
        <v>0</v>
      </c>
      <c r="CV116">
        <f t="shared" si="97"/>
        <v>0.94</v>
      </c>
      <c r="CW116">
        <f t="shared" si="98"/>
        <v>0</v>
      </c>
      <c r="CX116">
        <f t="shared" si="98"/>
        <v>0</v>
      </c>
      <c r="CY116">
        <f t="shared" si="99"/>
        <v>933.91200000000015</v>
      </c>
      <c r="CZ116">
        <f t="shared" si="100"/>
        <v>133.416</v>
      </c>
      <c r="DC116" t="s">
        <v>3</v>
      </c>
      <c r="DD116" t="s">
        <v>117</v>
      </c>
      <c r="DE116" t="s">
        <v>117</v>
      </c>
      <c r="DF116" t="s">
        <v>117</v>
      </c>
      <c r="DG116" t="s">
        <v>117</v>
      </c>
      <c r="DH116" t="s">
        <v>3</v>
      </c>
      <c r="DI116" t="s">
        <v>117</v>
      </c>
      <c r="DJ116" t="s">
        <v>117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31</v>
      </c>
      <c r="DW116" t="s">
        <v>31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19</v>
      </c>
      <c r="EH116">
        <v>0</v>
      </c>
      <c r="EI116" t="s">
        <v>3</v>
      </c>
      <c r="EJ116">
        <v>4</v>
      </c>
      <c r="EK116">
        <v>0</v>
      </c>
      <c r="EL116" t="s">
        <v>20</v>
      </c>
      <c r="EM116" t="s">
        <v>21</v>
      </c>
      <c r="EO116" t="s">
        <v>3</v>
      </c>
      <c r="EQ116">
        <v>1835008</v>
      </c>
      <c r="ER116">
        <v>353.78</v>
      </c>
      <c r="ES116">
        <v>20.239999999999998</v>
      </c>
      <c r="ET116">
        <v>0</v>
      </c>
      <c r="EU116">
        <v>0</v>
      </c>
      <c r="EV116">
        <v>333.54</v>
      </c>
      <c r="EW116">
        <v>0.47</v>
      </c>
      <c r="EX116">
        <v>0</v>
      </c>
      <c r="EY116">
        <v>0</v>
      </c>
      <c r="FQ116">
        <v>0</v>
      </c>
      <c r="FR116">
        <f t="shared" si="101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1507701136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02"/>
        <v>0</v>
      </c>
      <c r="GM116">
        <f t="shared" si="103"/>
        <v>2482.4499999999998</v>
      </c>
      <c r="GN116">
        <f t="shared" si="104"/>
        <v>0</v>
      </c>
      <c r="GO116">
        <f t="shared" si="105"/>
        <v>0</v>
      </c>
      <c r="GP116">
        <f t="shared" si="106"/>
        <v>2482.4499999999998</v>
      </c>
      <c r="GR116">
        <v>0</v>
      </c>
      <c r="GS116">
        <v>3</v>
      </c>
      <c r="GT116">
        <v>0</v>
      </c>
      <c r="GU116" t="s">
        <v>3</v>
      </c>
      <c r="GV116">
        <f t="shared" si="107"/>
        <v>0</v>
      </c>
      <c r="GW116">
        <v>1</v>
      </c>
      <c r="GX116">
        <f t="shared" si="108"/>
        <v>0</v>
      </c>
      <c r="HA116">
        <v>0</v>
      </c>
      <c r="HB116">
        <v>0</v>
      </c>
      <c r="HC116">
        <f t="shared" si="109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ROW(EtalonRes!A39)</f>
        <v>39</v>
      </c>
      <c r="E117" t="s">
        <v>134</v>
      </c>
      <c r="F117" t="s">
        <v>135</v>
      </c>
      <c r="G117" t="s">
        <v>136</v>
      </c>
      <c r="H117" t="s">
        <v>40</v>
      </c>
      <c r="I117">
        <f>ROUND(2/10,9)</f>
        <v>0.2</v>
      </c>
      <c r="J117">
        <v>0</v>
      </c>
      <c r="K117">
        <f>ROUND(2/10,9)</f>
        <v>0.2</v>
      </c>
      <c r="O117">
        <f t="shared" si="79"/>
        <v>3555.26</v>
      </c>
      <c r="P117">
        <f t="shared" si="80"/>
        <v>6.96</v>
      </c>
      <c r="Q117">
        <f t="shared" si="81"/>
        <v>0</v>
      </c>
      <c r="R117">
        <f t="shared" si="82"/>
        <v>0</v>
      </c>
      <c r="S117">
        <f t="shared" si="83"/>
        <v>3548.3</v>
      </c>
      <c r="T117">
        <f t="shared" si="84"/>
        <v>0</v>
      </c>
      <c r="U117">
        <f t="shared" si="85"/>
        <v>5</v>
      </c>
      <c r="V117">
        <f t="shared" si="86"/>
        <v>0</v>
      </c>
      <c r="W117">
        <f t="shared" si="87"/>
        <v>0</v>
      </c>
      <c r="X117">
        <f t="shared" si="88"/>
        <v>2483.81</v>
      </c>
      <c r="Y117">
        <f t="shared" si="88"/>
        <v>354.83</v>
      </c>
      <c r="AA117">
        <v>1471988752</v>
      </c>
      <c r="AB117">
        <f t="shared" si="89"/>
        <v>17776.28</v>
      </c>
      <c r="AC117">
        <f>ROUND(((ES117*2)),6)</f>
        <v>34.78</v>
      </c>
      <c r="AD117">
        <f>ROUND(((((ET117*2))-((EU117*2)))+AE117),6)</f>
        <v>0</v>
      </c>
      <c r="AE117">
        <f t="shared" si="110"/>
        <v>0</v>
      </c>
      <c r="AF117">
        <f t="shared" si="110"/>
        <v>17741.5</v>
      </c>
      <c r="AG117">
        <f t="shared" si="90"/>
        <v>0</v>
      </c>
      <c r="AH117">
        <f t="shared" si="111"/>
        <v>25</v>
      </c>
      <c r="AI117">
        <f t="shared" si="111"/>
        <v>0</v>
      </c>
      <c r="AJ117">
        <f t="shared" si="91"/>
        <v>0</v>
      </c>
      <c r="AK117">
        <v>8888.14</v>
      </c>
      <c r="AL117">
        <v>17.39</v>
      </c>
      <c r="AM117">
        <v>0</v>
      </c>
      <c r="AN117">
        <v>0</v>
      </c>
      <c r="AO117">
        <v>8870.75</v>
      </c>
      <c r="AP117">
        <v>0</v>
      </c>
      <c r="AQ117">
        <v>12.5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137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2"/>
        <v>3555.26</v>
      </c>
      <c r="CQ117">
        <f t="shared" si="93"/>
        <v>34.78</v>
      </c>
      <c r="CR117">
        <f>(((((ET117*2))*BB117-((EU117*2))*BS117)+AE117*BS117)*AV117)</f>
        <v>0</v>
      </c>
      <c r="CS117">
        <f t="shared" si="94"/>
        <v>0</v>
      </c>
      <c r="CT117">
        <f t="shared" si="95"/>
        <v>17741.5</v>
      </c>
      <c r="CU117">
        <f t="shared" si="96"/>
        <v>0</v>
      </c>
      <c r="CV117">
        <f t="shared" si="97"/>
        <v>25</v>
      </c>
      <c r="CW117">
        <f t="shared" si="98"/>
        <v>0</v>
      </c>
      <c r="CX117">
        <f t="shared" si="98"/>
        <v>0</v>
      </c>
      <c r="CY117">
        <f t="shared" si="99"/>
        <v>2483.81</v>
      </c>
      <c r="CZ117">
        <f t="shared" si="100"/>
        <v>354.83</v>
      </c>
      <c r="DC117" t="s">
        <v>3</v>
      </c>
      <c r="DD117" t="s">
        <v>117</v>
      </c>
      <c r="DE117" t="s">
        <v>117</v>
      </c>
      <c r="DF117" t="s">
        <v>117</v>
      </c>
      <c r="DG117" t="s">
        <v>117</v>
      </c>
      <c r="DH117" t="s">
        <v>3</v>
      </c>
      <c r="DI117" t="s">
        <v>117</v>
      </c>
      <c r="DJ117" t="s">
        <v>117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16987630</v>
      </c>
      <c r="DV117" t="s">
        <v>40</v>
      </c>
      <c r="DW117" t="s">
        <v>40</v>
      </c>
      <c r="DX117">
        <v>10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19</v>
      </c>
      <c r="EH117">
        <v>0</v>
      </c>
      <c r="EI117" t="s">
        <v>3</v>
      </c>
      <c r="EJ117">
        <v>4</v>
      </c>
      <c r="EK117">
        <v>0</v>
      </c>
      <c r="EL117" t="s">
        <v>20</v>
      </c>
      <c r="EM117" t="s">
        <v>21</v>
      </c>
      <c r="EO117" t="s">
        <v>3</v>
      </c>
      <c r="EQ117">
        <v>1835008</v>
      </c>
      <c r="ER117">
        <v>8888.14</v>
      </c>
      <c r="ES117">
        <v>17.39</v>
      </c>
      <c r="ET117">
        <v>0</v>
      </c>
      <c r="EU117">
        <v>0</v>
      </c>
      <c r="EV117">
        <v>8870.75</v>
      </c>
      <c r="EW117">
        <v>12.5</v>
      </c>
      <c r="EX117">
        <v>0</v>
      </c>
      <c r="EY117">
        <v>0</v>
      </c>
      <c r="FQ117">
        <v>0</v>
      </c>
      <c r="FR117">
        <f t="shared" si="101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1857006097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</v>
      </c>
      <c r="GL117">
        <f t="shared" si="102"/>
        <v>0</v>
      </c>
      <c r="GM117">
        <f t="shared" si="103"/>
        <v>6393.9</v>
      </c>
      <c r="GN117">
        <f t="shared" si="104"/>
        <v>0</v>
      </c>
      <c r="GO117">
        <f t="shared" si="105"/>
        <v>0</v>
      </c>
      <c r="GP117">
        <f t="shared" si="106"/>
        <v>6393.9</v>
      </c>
      <c r="GR117">
        <v>0</v>
      </c>
      <c r="GS117">
        <v>3</v>
      </c>
      <c r="GT117">
        <v>0</v>
      </c>
      <c r="GU117" t="s">
        <v>3</v>
      </c>
      <c r="GV117">
        <f t="shared" si="107"/>
        <v>0</v>
      </c>
      <c r="GW117">
        <v>1</v>
      </c>
      <c r="GX117">
        <f t="shared" si="108"/>
        <v>0</v>
      </c>
      <c r="HA117">
        <v>0</v>
      </c>
      <c r="HB117">
        <v>0</v>
      </c>
      <c r="HC117">
        <f t="shared" si="109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19</v>
      </c>
      <c r="B118">
        <v>1</v>
      </c>
      <c r="F118" t="s">
        <v>3</v>
      </c>
      <c r="G118" t="s">
        <v>138</v>
      </c>
      <c r="H118" t="s">
        <v>3</v>
      </c>
      <c r="AA118">
        <v>1</v>
      </c>
      <c r="IK118">
        <v>0</v>
      </c>
    </row>
    <row r="119" spans="1:245" x14ac:dyDescent="0.2">
      <c r="A119">
        <v>17</v>
      </c>
      <c r="B119">
        <v>1</v>
      </c>
      <c r="D119">
        <f>ROW(EtalonRes!A40)</f>
        <v>40</v>
      </c>
      <c r="E119" t="s">
        <v>139</v>
      </c>
      <c r="F119" t="s">
        <v>140</v>
      </c>
      <c r="G119" t="s">
        <v>141</v>
      </c>
      <c r="H119" t="s">
        <v>40</v>
      </c>
      <c r="I119">
        <f>ROUND(2/10,9)</f>
        <v>0.2</v>
      </c>
      <c r="J119">
        <v>0</v>
      </c>
      <c r="K119">
        <f>ROUND(2/10,9)</f>
        <v>0.2</v>
      </c>
      <c r="O119">
        <f t="shared" ref="O119:O129" si="112">ROUND(CP119,2)</f>
        <v>113.62</v>
      </c>
      <c r="P119">
        <f t="shared" ref="P119:P129" si="113">ROUND(CQ119*I119,2)</f>
        <v>0</v>
      </c>
      <c r="Q119">
        <f t="shared" ref="Q119:Q129" si="114">ROUND(CR119*I119,2)</f>
        <v>0</v>
      </c>
      <c r="R119">
        <f t="shared" ref="R119:R129" si="115">ROUND(CS119*I119,2)</f>
        <v>0</v>
      </c>
      <c r="S119">
        <f t="shared" ref="S119:S129" si="116">ROUND(CT119*I119,2)</f>
        <v>113.62</v>
      </c>
      <c r="T119">
        <f t="shared" ref="T119:T129" si="117">ROUND(CU119*I119,2)</f>
        <v>0</v>
      </c>
      <c r="U119">
        <f t="shared" ref="U119:U129" si="118">CV119*I119</f>
        <v>0.18400000000000002</v>
      </c>
      <c r="V119">
        <f t="shared" ref="V119:V129" si="119">CW119*I119</f>
        <v>0</v>
      </c>
      <c r="W119">
        <f t="shared" ref="W119:W129" si="120">ROUND(CX119*I119,2)</f>
        <v>0</v>
      </c>
      <c r="X119">
        <f t="shared" ref="X119:X129" si="121">ROUND(CY119,2)</f>
        <v>79.53</v>
      </c>
      <c r="Y119">
        <f t="shared" ref="Y119:Y129" si="122">ROUND(CZ119,2)</f>
        <v>11.36</v>
      </c>
      <c r="AA119">
        <v>1471988752</v>
      </c>
      <c r="AB119">
        <f t="shared" ref="AB119:AB129" si="123">ROUND((AC119+AD119+AF119),6)</f>
        <v>568.09</v>
      </c>
      <c r="AC119">
        <f>ROUND((ES119),6)</f>
        <v>0</v>
      </c>
      <c r="AD119">
        <f>ROUND((((ET119)-(EU119))+AE119),6)</f>
        <v>0</v>
      </c>
      <c r="AE119">
        <f>ROUND((EU119),6)</f>
        <v>0</v>
      </c>
      <c r="AF119">
        <f>ROUND((EV119),6)</f>
        <v>568.09</v>
      </c>
      <c r="AG119">
        <f t="shared" ref="AG119:AG129" si="124">ROUND((AP119),6)</f>
        <v>0</v>
      </c>
      <c r="AH119">
        <f>(EW119)</f>
        <v>0.92</v>
      </c>
      <c r="AI119">
        <f>(EX119)</f>
        <v>0</v>
      </c>
      <c r="AJ119">
        <f t="shared" ref="AJ119:AJ129" si="125">(AS119)</f>
        <v>0</v>
      </c>
      <c r="AK119">
        <v>568.09</v>
      </c>
      <c r="AL119">
        <v>0</v>
      </c>
      <c r="AM119">
        <v>0</v>
      </c>
      <c r="AN119">
        <v>0</v>
      </c>
      <c r="AO119">
        <v>568.09</v>
      </c>
      <c r="AP119">
        <v>0</v>
      </c>
      <c r="AQ119">
        <v>0.92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142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ref="CP119:CP129" si="126">(P119+Q119+S119)</f>
        <v>113.62</v>
      </c>
      <c r="CQ119">
        <f>(AC119*BC119*AW119)</f>
        <v>0</v>
      </c>
      <c r="CR119">
        <f>((((ET119)*BB119-(EU119)*BS119)+AE119*BS119)*AV119)</f>
        <v>0</v>
      </c>
      <c r="CS119">
        <f>(AE119*BS119*AV119)</f>
        <v>0</v>
      </c>
      <c r="CT119">
        <f>(AF119*BA119*AV119)</f>
        <v>568.09</v>
      </c>
      <c r="CU119">
        <f t="shared" ref="CU119:CU129" si="127">AG119</f>
        <v>0</v>
      </c>
      <c r="CV119">
        <f>(AH119*AV119)</f>
        <v>0.92</v>
      </c>
      <c r="CW119">
        <f t="shared" ref="CW119:CW129" si="128">AI119</f>
        <v>0</v>
      </c>
      <c r="CX119">
        <f t="shared" ref="CX119:CX129" si="129">AJ119</f>
        <v>0</v>
      </c>
      <c r="CY119">
        <f>((S119*BZ119)/100)</f>
        <v>79.534000000000006</v>
      </c>
      <c r="CZ119">
        <f>((S119*CA119)/100)</f>
        <v>11.362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16987630</v>
      </c>
      <c r="DV119" t="s">
        <v>40</v>
      </c>
      <c r="DW119" t="s">
        <v>40</v>
      </c>
      <c r="DX119">
        <v>10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19</v>
      </c>
      <c r="EH119">
        <v>0</v>
      </c>
      <c r="EI119" t="s">
        <v>3</v>
      </c>
      <c r="EJ119">
        <v>4</v>
      </c>
      <c r="EK119">
        <v>0</v>
      </c>
      <c r="EL119" t="s">
        <v>20</v>
      </c>
      <c r="EM119" t="s">
        <v>21</v>
      </c>
      <c r="EO119" t="s">
        <v>3</v>
      </c>
      <c r="EQ119">
        <v>0</v>
      </c>
      <c r="ER119">
        <v>568.09</v>
      </c>
      <c r="ES119">
        <v>0</v>
      </c>
      <c r="ET119">
        <v>0</v>
      </c>
      <c r="EU119">
        <v>0</v>
      </c>
      <c r="EV119">
        <v>568.09</v>
      </c>
      <c r="EW119">
        <v>0.92</v>
      </c>
      <c r="EX119">
        <v>0</v>
      </c>
      <c r="EY119">
        <v>0</v>
      </c>
      <c r="FQ119">
        <v>0</v>
      </c>
      <c r="FR119">
        <f t="shared" ref="FR119:FR129" si="130"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2082338734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 t="shared" ref="GL119:GL129" si="131">ROUND(IF(AND(BH119=3,BI119=3,FS119&lt;&gt;0),P119,0),2)</f>
        <v>0</v>
      </c>
      <c r="GM119">
        <f t="shared" ref="GM119:GM129" si="132">ROUND(O119+X119+Y119+GK119,2)+GX119</f>
        <v>204.51</v>
      </c>
      <c r="GN119">
        <f t="shared" ref="GN119:GN129" si="133">IF(OR(BI119=0,BI119=1),GM119-GX119,0)</f>
        <v>0</v>
      </c>
      <c r="GO119">
        <f t="shared" ref="GO119:GO129" si="134">IF(BI119=2,GM119-GX119,0)</f>
        <v>0</v>
      </c>
      <c r="GP119">
        <f t="shared" ref="GP119:GP129" si="135">IF(BI119=4,GM119-GX119,0)</f>
        <v>204.51</v>
      </c>
      <c r="GR119">
        <v>0</v>
      </c>
      <c r="GS119">
        <v>3</v>
      </c>
      <c r="GT119">
        <v>0</v>
      </c>
      <c r="GU119" t="s">
        <v>3</v>
      </c>
      <c r="GV119">
        <f t="shared" ref="GV119:GV129" si="136">ROUND((GT119),6)</f>
        <v>0</v>
      </c>
      <c r="GW119">
        <v>1</v>
      </c>
      <c r="GX119">
        <f t="shared" ref="GX119:GX129" si="137">ROUND(HC119*I119,2)</f>
        <v>0</v>
      </c>
      <c r="HA119">
        <v>0</v>
      </c>
      <c r="HB119">
        <v>0</v>
      </c>
      <c r="HC119">
        <f t="shared" ref="HC119:HC129" si="138"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ROW(EtalonRes!A43)</f>
        <v>43</v>
      </c>
      <c r="E120" t="s">
        <v>143</v>
      </c>
      <c r="F120" t="s">
        <v>144</v>
      </c>
      <c r="G120" t="s">
        <v>145</v>
      </c>
      <c r="H120" t="s">
        <v>31</v>
      </c>
      <c r="I120">
        <v>2</v>
      </c>
      <c r="J120">
        <v>0</v>
      </c>
      <c r="K120">
        <v>2</v>
      </c>
      <c r="O120">
        <f t="shared" si="112"/>
        <v>956.52</v>
      </c>
      <c r="P120">
        <f t="shared" si="113"/>
        <v>76.56</v>
      </c>
      <c r="Q120">
        <f t="shared" si="114"/>
        <v>0</v>
      </c>
      <c r="R120">
        <f t="shared" si="115"/>
        <v>0</v>
      </c>
      <c r="S120">
        <f t="shared" si="116"/>
        <v>879.96</v>
      </c>
      <c r="T120">
        <f t="shared" si="117"/>
        <v>0</v>
      </c>
      <c r="U120">
        <f t="shared" si="118"/>
        <v>1.24</v>
      </c>
      <c r="V120">
        <f t="shared" si="119"/>
        <v>0</v>
      </c>
      <c r="W120">
        <f t="shared" si="120"/>
        <v>0</v>
      </c>
      <c r="X120">
        <f t="shared" si="121"/>
        <v>615.97</v>
      </c>
      <c r="Y120">
        <f t="shared" si="122"/>
        <v>88</v>
      </c>
      <c r="AA120">
        <v>1471988752</v>
      </c>
      <c r="AB120">
        <f t="shared" si="123"/>
        <v>478.26</v>
      </c>
      <c r="AC120">
        <f>ROUND(((ES120*2)),6)</f>
        <v>38.28</v>
      </c>
      <c r="AD120">
        <f>ROUND(((((ET120*2))-((EU120*2)))+AE120),6)</f>
        <v>0</v>
      </c>
      <c r="AE120">
        <f>ROUND(((EU120*2)),6)</f>
        <v>0</v>
      </c>
      <c r="AF120">
        <f>ROUND(((EV120*2)),6)</f>
        <v>439.98</v>
      </c>
      <c r="AG120">
        <f t="shared" si="124"/>
        <v>0</v>
      </c>
      <c r="AH120">
        <f>((EW120*2))</f>
        <v>0.62</v>
      </c>
      <c r="AI120">
        <f>((EX120*2))</f>
        <v>0</v>
      </c>
      <c r="AJ120">
        <f t="shared" si="125"/>
        <v>0</v>
      </c>
      <c r="AK120">
        <v>239.13</v>
      </c>
      <c r="AL120">
        <v>19.14</v>
      </c>
      <c r="AM120">
        <v>0</v>
      </c>
      <c r="AN120">
        <v>0</v>
      </c>
      <c r="AO120">
        <v>219.99</v>
      </c>
      <c r="AP120">
        <v>0</v>
      </c>
      <c r="AQ120">
        <v>0.31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146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26"/>
        <v>956.52</v>
      </c>
      <c r="CQ120">
        <f>(AC120*BC120*AW120)</f>
        <v>38.28</v>
      </c>
      <c r="CR120">
        <f>(((((ET120*2))*BB120-((EU120*2))*BS120)+AE120*BS120)*AV120)</f>
        <v>0</v>
      </c>
      <c r="CS120">
        <f>(AE120*BS120*AV120)</f>
        <v>0</v>
      </c>
      <c r="CT120">
        <f>(AF120*BA120*AV120)</f>
        <v>439.98</v>
      </c>
      <c r="CU120">
        <f t="shared" si="127"/>
        <v>0</v>
      </c>
      <c r="CV120">
        <f>(AH120*AV120)</f>
        <v>0.62</v>
      </c>
      <c r="CW120">
        <f t="shared" si="128"/>
        <v>0</v>
      </c>
      <c r="CX120">
        <f t="shared" si="129"/>
        <v>0</v>
      </c>
      <c r="CY120">
        <f>((S120*BZ120)/100)</f>
        <v>615.97200000000009</v>
      </c>
      <c r="CZ120">
        <f>((S120*CA120)/100)</f>
        <v>87.996000000000009</v>
      </c>
      <c r="DC120" t="s">
        <v>3</v>
      </c>
      <c r="DD120" t="s">
        <v>117</v>
      </c>
      <c r="DE120" t="s">
        <v>117</v>
      </c>
      <c r="DF120" t="s">
        <v>117</v>
      </c>
      <c r="DG120" t="s">
        <v>117</v>
      </c>
      <c r="DH120" t="s">
        <v>3</v>
      </c>
      <c r="DI120" t="s">
        <v>117</v>
      </c>
      <c r="DJ120" t="s">
        <v>117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16987630</v>
      </c>
      <c r="DV120" t="s">
        <v>31</v>
      </c>
      <c r="DW120" t="s">
        <v>31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19</v>
      </c>
      <c r="EH120">
        <v>0</v>
      </c>
      <c r="EI120" t="s">
        <v>3</v>
      </c>
      <c r="EJ120">
        <v>4</v>
      </c>
      <c r="EK120">
        <v>0</v>
      </c>
      <c r="EL120" t="s">
        <v>20</v>
      </c>
      <c r="EM120" t="s">
        <v>21</v>
      </c>
      <c r="EO120" t="s">
        <v>3</v>
      </c>
      <c r="EQ120">
        <v>0</v>
      </c>
      <c r="ER120">
        <v>239.13</v>
      </c>
      <c r="ES120">
        <v>19.14</v>
      </c>
      <c r="ET120">
        <v>0</v>
      </c>
      <c r="EU120">
        <v>0</v>
      </c>
      <c r="EV120">
        <v>219.99</v>
      </c>
      <c r="EW120">
        <v>0.31</v>
      </c>
      <c r="EX120">
        <v>0</v>
      </c>
      <c r="EY120">
        <v>0</v>
      </c>
      <c r="FQ120">
        <v>0</v>
      </c>
      <c r="FR120">
        <f t="shared" si="130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-1042054303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31"/>
        <v>0</v>
      </c>
      <c r="GM120">
        <f t="shared" si="132"/>
        <v>1660.49</v>
      </c>
      <c r="GN120">
        <f t="shared" si="133"/>
        <v>0</v>
      </c>
      <c r="GO120">
        <f t="shared" si="134"/>
        <v>0</v>
      </c>
      <c r="GP120">
        <f t="shared" si="135"/>
        <v>1660.49</v>
      </c>
      <c r="GR120">
        <v>0</v>
      </c>
      <c r="GS120">
        <v>3</v>
      </c>
      <c r="GT120">
        <v>0</v>
      </c>
      <c r="GU120" t="s">
        <v>3</v>
      </c>
      <c r="GV120">
        <f t="shared" si="136"/>
        <v>0</v>
      </c>
      <c r="GW120">
        <v>1</v>
      </c>
      <c r="GX120">
        <f t="shared" si="137"/>
        <v>0</v>
      </c>
      <c r="HA120">
        <v>0</v>
      </c>
      <c r="HB120">
        <v>0</v>
      </c>
      <c r="HC120">
        <f t="shared" si="138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ROW(EtalonRes!A44)</f>
        <v>44</v>
      </c>
      <c r="E121" t="s">
        <v>3</v>
      </c>
      <c r="F121" t="s">
        <v>147</v>
      </c>
      <c r="G121" t="s">
        <v>148</v>
      </c>
      <c r="H121" t="s">
        <v>31</v>
      </c>
      <c r="I121">
        <v>4</v>
      </c>
      <c r="J121">
        <v>0</v>
      </c>
      <c r="K121">
        <v>4</v>
      </c>
      <c r="O121">
        <f t="shared" si="112"/>
        <v>2889.84</v>
      </c>
      <c r="P121">
        <f t="shared" si="113"/>
        <v>0</v>
      </c>
      <c r="Q121">
        <f t="shared" si="114"/>
        <v>0</v>
      </c>
      <c r="R121">
        <f t="shared" si="115"/>
        <v>0</v>
      </c>
      <c r="S121">
        <f t="shared" si="116"/>
        <v>2889.84</v>
      </c>
      <c r="T121">
        <f t="shared" si="117"/>
        <v>0</v>
      </c>
      <c r="U121">
        <f t="shared" si="118"/>
        <v>4.68</v>
      </c>
      <c r="V121">
        <f t="shared" si="119"/>
        <v>0</v>
      </c>
      <c r="W121">
        <f t="shared" si="120"/>
        <v>0</v>
      </c>
      <c r="X121">
        <f t="shared" si="121"/>
        <v>2022.89</v>
      </c>
      <c r="Y121">
        <f t="shared" si="122"/>
        <v>288.98</v>
      </c>
      <c r="AA121">
        <v>-1</v>
      </c>
      <c r="AB121">
        <f t="shared" si="123"/>
        <v>722.46</v>
      </c>
      <c r="AC121">
        <f t="shared" ref="AC121:AC128" si="139">ROUND((ES121),6)</f>
        <v>0</v>
      </c>
      <c r="AD121">
        <f>ROUND((((ET121)-(EU121))+AE121),6)</f>
        <v>0</v>
      </c>
      <c r="AE121">
        <f t="shared" ref="AE121:AF128" si="140">ROUND((EU121),6)</f>
        <v>0</v>
      </c>
      <c r="AF121">
        <f t="shared" si="140"/>
        <v>722.46</v>
      </c>
      <c r="AG121">
        <f t="shared" si="124"/>
        <v>0</v>
      </c>
      <c r="AH121">
        <f t="shared" ref="AH121:AI128" si="141">(EW121)</f>
        <v>1.17</v>
      </c>
      <c r="AI121">
        <f t="shared" si="141"/>
        <v>0</v>
      </c>
      <c r="AJ121">
        <f t="shared" si="125"/>
        <v>0</v>
      </c>
      <c r="AK121">
        <v>722.46</v>
      </c>
      <c r="AL121">
        <v>0</v>
      </c>
      <c r="AM121">
        <v>0</v>
      </c>
      <c r="AN121">
        <v>0</v>
      </c>
      <c r="AO121">
        <v>722.46</v>
      </c>
      <c r="AP121">
        <v>0</v>
      </c>
      <c r="AQ121">
        <v>1.17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149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26"/>
        <v>2889.84</v>
      </c>
      <c r="CQ121">
        <f>(AC121*BC121*AW121)</f>
        <v>0</v>
      </c>
      <c r="CR121">
        <f>((((ET121)*BB121-(EU121)*BS121)+AE121*BS121)*AV121)</f>
        <v>0</v>
      </c>
      <c r="CS121">
        <f>(AE121*BS121*AV121)</f>
        <v>0</v>
      </c>
      <c r="CT121">
        <f>(AF121*BA121*AV121)</f>
        <v>722.46</v>
      </c>
      <c r="CU121">
        <f t="shared" si="127"/>
        <v>0</v>
      </c>
      <c r="CV121">
        <f>(AH121*AV121)</f>
        <v>1.17</v>
      </c>
      <c r="CW121">
        <f t="shared" si="128"/>
        <v>0</v>
      </c>
      <c r="CX121">
        <f t="shared" si="129"/>
        <v>0</v>
      </c>
      <c r="CY121">
        <f>((S121*BZ121)/100)</f>
        <v>2022.8880000000001</v>
      </c>
      <c r="CZ121">
        <f>((S121*CA121)/100)</f>
        <v>288.98400000000004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31</v>
      </c>
      <c r="DW121" t="s">
        <v>31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19</v>
      </c>
      <c r="EH121">
        <v>0</v>
      </c>
      <c r="EI121" t="s">
        <v>3</v>
      </c>
      <c r="EJ121">
        <v>4</v>
      </c>
      <c r="EK121">
        <v>0</v>
      </c>
      <c r="EL121" t="s">
        <v>20</v>
      </c>
      <c r="EM121" t="s">
        <v>21</v>
      </c>
      <c r="EO121" t="s">
        <v>3</v>
      </c>
      <c r="EQ121">
        <v>1024</v>
      </c>
      <c r="ER121">
        <v>722.46</v>
      </c>
      <c r="ES121">
        <v>0</v>
      </c>
      <c r="ET121">
        <v>0</v>
      </c>
      <c r="EU121">
        <v>0</v>
      </c>
      <c r="EV121">
        <v>722.46</v>
      </c>
      <c r="EW121">
        <v>1.17</v>
      </c>
      <c r="EX121">
        <v>0</v>
      </c>
      <c r="EY121">
        <v>0</v>
      </c>
      <c r="FQ121">
        <v>0</v>
      </c>
      <c r="FR121">
        <f t="shared" si="130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1164262949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si="131"/>
        <v>0</v>
      </c>
      <c r="GM121">
        <f t="shared" si="132"/>
        <v>5201.71</v>
      </c>
      <c r="GN121">
        <f t="shared" si="133"/>
        <v>0</v>
      </c>
      <c r="GO121">
        <f t="shared" si="134"/>
        <v>0</v>
      </c>
      <c r="GP121">
        <f t="shared" si="135"/>
        <v>5201.71</v>
      </c>
      <c r="GR121">
        <v>0</v>
      </c>
      <c r="GS121">
        <v>3</v>
      </c>
      <c r="GT121">
        <v>0</v>
      </c>
      <c r="GU121" t="s">
        <v>3</v>
      </c>
      <c r="GV121">
        <f t="shared" si="136"/>
        <v>0</v>
      </c>
      <c r="GW121">
        <v>1</v>
      </c>
      <c r="GX121">
        <f t="shared" si="137"/>
        <v>0</v>
      </c>
      <c r="HA121">
        <v>0</v>
      </c>
      <c r="HB121">
        <v>0</v>
      </c>
      <c r="HC121">
        <f t="shared" si="138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E122" t="s">
        <v>3</v>
      </c>
      <c r="F122" t="s">
        <v>150</v>
      </c>
      <c r="G122" t="s">
        <v>151</v>
      </c>
      <c r="H122" t="s">
        <v>152</v>
      </c>
      <c r="I122">
        <f>ROUND(4,9)</f>
        <v>4</v>
      </c>
      <c r="J122">
        <v>0</v>
      </c>
      <c r="K122">
        <f>ROUND(4,9)</f>
        <v>4</v>
      </c>
      <c r="O122">
        <f t="shared" si="112"/>
        <v>720</v>
      </c>
      <c r="P122">
        <f t="shared" si="113"/>
        <v>720</v>
      </c>
      <c r="Q122">
        <f t="shared" si="114"/>
        <v>0</v>
      </c>
      <c r="R122">
        <f t="shared" si="115"/>
        <v>0</v>
      </c>
      <c r="S122">
        <f t="shared" si="116"/>
        <v>0</v>
      </c>
      <c r="T122">
        <f t="shared" si="117"/>
        <v>0</v>
      </c>
      <c r="U122">
        <f t="shared" si="118"/>
        <v>0</v>
      </c>
      <c r="V122">
        <f t="shared" si="119"/>
        <v>0</v>
      </c>
      <c r="W122">
        <f t="shared" si="120"/>
        <v>0</v>
      </c>
      <c r="X122">
        <f t="shared" si="121"/>
        <v>0</v>
      </c>
      <c r="Y122">
        <f t="shared" si="122"/>
        <v>0</v>
      </c>
      <c r="AA122">
        <v>-1</v>
      </c>
      <c r="AB122">
        <f t="shared" si="123"/>
        <v>180</v>
      </c>
      <c r="AC122">
        <f t="shared" si="139"/>
        <v>180</v>
      </c>
      <c r="AD122">
        <f>ROUND((ET122),6)</f>
        <v>0</v>
      </c>
      <c r="AE122">
        <f t="shared" si="140"/>
        <v>0</v>
      </c>
      <c r="AF122">
        <f t="shared" si="140"/>
        <v>0</v>
      </c>
      <c r="AG122">
        <f t="shared" si="124"/>
        <v>0</v>
      </c>
      <c r="AH122">
        <f t="shared" si="141"/>
        <v>0</v>
      </c>
      <c r="AI122">
        <f t="shared" si="141"/>
        <v>0</v>
      </c>
      <c r="AJ122">
        <f t="shared" si="125"/>
        <v>0</v>
      </c>
      <c r="AK122">
        <v>180</v>
      </c>
      <c r="AL122">
        <v>180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0</v>
      </c>
      <c r="BJ122" t="s">
        <v>3</v>
      </c>
      <c r="BM122">
        <v>356</v>
      </c>
      <c r="BN122">
        <v>0</v>
      </c>
      <c r="BO122" t="s">
        <v>3</v>
      </c>
      <c r="BP122">
        <v>0</v>
      </c>
      <c r="BQ122">
        <v>0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26"/>
        <v>720</v>
      </c>
      <c r="CQ122">
        <f>AC122*BC122</f>
        <v>180</v>
      </c>
      <c r="CR122">
        <f>AD122*BB122</f>
        <v>0</v>
      </c>
      <c r="CS122">
        <f>AE122*BS122</f>
        <v>0</v>
      </c>
      <c r="CT122">
        <f>AF122*BA122</f>
        <v>0</v>
      </c>
      <c r="CU122">
        <f t="shared" si="127"/>
        <v>0</v>
      </c>
      <c r="CV122">
        <f>AH122</f>
        <v>0</v>
      </c>
      <c r="CW122">
        <f t="shared" si="128"/>
        <v>0</v>
      </c>
      <c r="CX122">
        <f t="shared" si="129"/>
        <v>0</v>
      </c>
      <c r="CY122">
        <f>0</f>
        <v>0</v>
      </c>
      <c r="CZ122">
        <f>0</f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152</v>
      </c>
      <c r="DW122" t="s">
        <v>152</v>
      </c>
      <c r="DX122">
        <v>7.0999999999999994E-2</v>
      </c>
      <c r="DZ122" t="s">
        <v>3</v>
      </c>
      <c r="EA122" t="s">
        <v>3</v>
      </c>
      <c r="EB122" t="s">
        <v>3</v>
      </c>
      <c r="EC122" t="s">
        <v>3</v>
      </c>
      <c r="EE122">
        <v>0</v>
      </c>
      <c r="EF122">
        <v>0</v>
      </c>
      <c r="EG122" t="s">
        <v>3</v>
      </c>
      <c r="EH122">
        <v>0</v>
      </c>
      <c r="EI122" t="s">
        <v>3</v>
      </c>
      <c r="EJ122">
        <v>0</v>
      </c>
      <c r="EK122">
        <v>356</v>
      </c>
      <c r="EL122" t="s">
        <v>3</v>
      </c>
      <c r="EM122" t="s">
        <v>3</v>
      </c>
      <c r="EO122" t="s">
        <v>3</v>
      </c>
      <c r="EQ122">
        <v>1024</v>
      </c>
      <c r="ER122">
        <v>180</v>
      </c>
      <c r="ES122">
        <v>180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FQ122">
        <v>720</v>
      </c>
      <c r="FR122">
        <f t="shared" si="130"/>
        <v>0</v>
      </c>
      <c r="FS122">
        <v>1</v>
      </c>
      <c r="FX122">
        <v>0</v>
      </c>
      <c r="FY122">
        <v>0</v>
      </c>
      <c r="GA122" t="s">
        <v>3</v>
      </c>
      <c r="GD122">
        <v>0</v>
      </c>
      <c r="GF122">
        <v>-54322067</v>
      </c>
      <c r="GG122">
        <v>2</v>
      </c>
      <c r="GH122">
        <v>0</v>
      </c>
      <c r="GI122">
        <v>-2</v>
      </c>
      <c r="GJ122">
        <v>0</v>
      </c>
      <c r="GK122">
        <f>ROUND(R122*(R12)/100,2)</f>
        <v>0</v>
      </c>
      <c r="GL122">
        <f t="shared" si="131"/>
        <v>0</v>
      </c>
      <c r="GM122">
        <f t="shared" si="132"/>
        <v>720</v>
      </c>
      <c r="GN122">
        <f t="shared" si="133"/>
        <v>720</v>
      </c>
      <c r="GO122">
        <f t="shared" si="134"/>
        <v>0</v>
      </c>
      <c r="GP122">
        <f t="shared" si="135"/>
        <v>0</v>
      </c>
      <c r="GR122">
        <v>0</v>
      </c>
      <c r="GS122">
        <v>0</v>
      </c>
      <c r="GT122">
        <v>0</v>
      </c>
      <c r="GU122" t="s">
        <v>3</v>
      </c>
      <c r="GV122">
        <f t="shared" si="136"/>
        <v>0</v>
      </c>
      <c r="GW122">
        <v>1</v>
      </c>
      <c r="GX122">
        <f t="shared" si="137"/>
        <v>0</v>
      </c>
      <c r="HA122">
        <v>0</v>
      </c>
      <c r="HB122">
        <v>0</v>
      </c>
      <c r="HC122">
        <f t="shared" si="138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D123">
        <f>ROW(EtalonRes!A46)</f>
        <v>46</v>
      </c>
      <c r="E123" t="s">
        <v>3</v>
      </c>
      <c r="F123" t="s">
        <v>153</v>
      </c>
      <c r="G123" t="s">
        <v>154</v>
      </c>
      <c r="H123" t="s">
        <v>40</v>
      </c>
      <c r="I123">
        <f>ROUND((4)/10,9)</f>
        <v>0.4</v>
      </c>
      <c r="J123">
        <v>0</v>
      </c>
      <c r="K123">
        <f>ROUND((4)/10,9)</f>
        <v>0.4</v>
      </c>
      <c r="O123">
        <f t="shared" si="112"/>
        <v>222.42</v>
      </c>
      <c r="P123">
        <f t="shared" si="113"/>
        <v>0.12</v>
      </c>
      <c r="Q123">
        <f t="shared" si="114"/>
        <v>0</v>
      </c>
      <c r="R123">
        <f t="shared" si="115"/>
        <v>0</v>
      </c>
      <c r="S123">
        <f t="shared" si="116"/>
        <v>222.3</v>
      </c>
      <c r="T123">
        <f t="shared" si="117"/>
        <v>0</v>
      </c>
      <c r="U123">
        <f t="shared" si="118"/>
        <v>0.36000000000000004</v>
      </c>
      <c r="V123">
        <f t="shared" si="119"/>
        <v>0</v>
      </c>
      <c r="W123">
        <f t="shared" si="120"/>
        <v>0</v>
      </c>
      <c r="X123">
        <f t="shared" si="121"/>
        <v>155.61000000000001</v>
      </c>
      <c r="Y123">
        <f t="shared" si="122"/>
        <v>22.23</v>
      </c>
      <c r="AA123">
        <v>-1</v>
      </c>
      <c r="AB123">
        <f t="shared" si="123"/>
        <v>556.04999999999995</v>
      </c>
      <c r="AC123">
        <f t="shared" si="139"/>
        <v>0.31</v>
      </c>
      <c r="AD123">
        <f t="shared" ref="AD123:AD128" si="142">ROUND((((ET123)-(EU123))+AE123),6)</f>
        <v>0</v>
      </c>
      <c r="AE123">
        <f t="shared" si="140"/>
        <v>0</v>
      </c>
      <c r="AF123">
        <f t="shared" si="140"/>
        <v>555.74</v>
      </c>
      <c r="AG123">
        <f t="shared" si="124"/>
        <v>0</v>
      </c>
      <c r="AH123">
        <f t="shared" si="141"/>
        <v>0.9</v>
      </c>
      <c r="AI123">
        <f t="shared" si="141"/>
        <v>0</v>
      </c>
      <c r="AJ123">
        <f t="shared" si="125"/>
        <v>0</v>
      </c>
      <c r="AK123">
        <v>556.04999999999995</v>
      </c>
      <c r="AL123">
        <v>0.31</v>
      </c>
      <c r="AM123">
        <v>0</v>
      </c>
      <c r="AN123">
        <v>0</v>
      </c>
      <c r="AO123">
        <v>555.74</v>
      </c>
      <c r="AP123">
        <v>0</v>
      </c>
      <c r="AQ123">
        <v>0.9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155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26"/>
        <v>222.42000000000002</v>
      </c>
      <c r="CQ123">
        <f t="shared" ref="CQ123:CQ129" si="143">(AC123*BC123*AW123)</f>
        <v>0.31</v>
      </c>
      <c r="CR123">
        <f t="shared" ref="CR123:CR128" si="144">((((ET123)*BB123-(EU123)*BS123)+AE123*BS123)*AV123)</f>
        <v>0</v>
      </c>
      <c r="CS123">
        <f t="shared" ref="CS123:CS129" si="145">(AE123*BS123*AV123)</f>
        <v>0</v>
      </c>
      <c r="CT123">
        <f t="shared" ref="CT123:CT129" si="146">(AF123*BA123*AV123)</f>
        <v>555.74</v>
      </c>
      <c r="CU123">
        <f t="shared" si="127"/>
        <v>0</v>
      </c>
      <c r="CV123">
        <f t="shared" ref="CV123:CV129" si="147">(AH123*AV123)</f>
        <v>0.9</v>
      </c>
      <c r="CW123">
        <f t="shared" si="128"/>
        <v>0</v>
      </c>
      <c r="CX123">
        <f t="shared" si="129"/>
        <v>0</v>
      </c>
      <c r="CY123">
        <f t="shared" ref="CY123:CY129" si="148">((S123*BZ123)/100)</f>
        <v>155.61000000000001</v>
      </c>
      <c r="CZ123">
        <f t="shared" ref="CZ123:CZ129" si="149">((S123*CA123)/100)</f>
        <v>22.23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16987630</v>
      </c>
      <c r="DV123" t="s">
        <v>40</v>
      </c>
      <c r="DW123" t="s">
        <v>40</v>
      </c>
      <c r="DX123">
        <v>10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19</v>
      </c>
      <c r="EH123">
        <v>0</v>
      </c>
      <c r="EI123" t="s">
        <v>3</v>
      </c>
      <c r="EJ123">
        <v>4</v>
      </c>
      <c r="EK123">
        <v>0</v>
      </c>
      <c r="EL123" t="s">
        <v>20</v>
      </c>
      <c r="EM123" t="s">
        <v>21</v>
      </c>
      <c r="EO123" t="s">
        <v>3</v>
      </c>
      <c r="EQ123">
        <v>1024</v>
      </c>
      <c r="ER123">
        <v>556.04999999999995</v>
      </c>
      <c r="ES123">
        <v>0.31</v>
      </c>
      <c r="ET123">
        <v>0</v>
      </c>
      <c r="EU123">
        <v>0</v>
      </c>
      <c r="EV123">
        <v>555.74</v>
      </c>
      <c r="EW123">
        <v>0.9</v>
      </c>
      <c r="EX123">
        <v>0</v>
      </c>
      <c r="EY123">
        <v>0</v>
      </c>
      <c r="FQ123">
        <v>0</v>
      </c>
      <c r="FR123">
        <f t="shared" si="130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505455875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31"/>
        <v>0</v>
      </c>
      <c r="GM123">
        <f t="shared" si="132"/>
        <v>400.26</v>
      </c>
      <c r="GN123">
        <f t="shared" si="133"/>
        <v>0</v>
      </c>
      <c r="GO123">
        <f t="shared" si="134"/>
        <v>0</v>
      </c>
      <c r="GP123">
        <f t="shared" si="135"/>
        <v>400.26</v>
      </c>
      <c r="GR123">
        <v>0</v>
      </c>
      <c r="GS123">
        <v>3</v>
      </c>
      <c r="GT123">
        <v>0</v>
      </c>
      <c r="GU123" t="s">
        <v>3</v>
      </c>
      <c r="GV123">
        <f t="shared" si="136"/>
        <v>0</v>
      </c>
      <c r="GW123">
        <v>1</v>
      </c>
      <c r="GX123">
        <f t="shared" si="137"/>
        <v>0</v>
      </c>
      <c r="HA123">
        <v>0</v>
      </c>
      <c r="HB123">
        <v>0</v>
      </c>
      <c r="HC123">
        <f t="shared" si="138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D124">
        <f>ROW(EtalonRes!A48)</f>
        <v>48</v>
      </c>
      <c r="E124" t="s">
        <v>156</v>
      </c>
      <c r="F124" t="s">
        <v>157</v>
      </c>
      <c r="G124" t="s">
        <v>158</v>
      </c>
      <c r="H124" t="s">
        <v>40</v>
      </c>
      <c r="I124">
        <f>ROUND(1/10,9)</f>
        <v>0.1</v>
      </c>
      <c r="J124">
        <v>0</v>
      </c>
      <c r="K124">
        <f>ROUND(1/10,9)</f>
        <v>0.1</v>
      </c>
      <c r="O124">
        <f t="shared" si="112"/>
        <v>93.92</v>
      </c>
      <c r="P124">
        <f t="shared" si="113"/>
        <v>0.06</v>
      </c>
      <c r="Q124">
        <f t="shared" si="114"/>
        <v>0</v>
      </c>
      <c r="R124">
        <f t="shared" si="115"/>
        <v>0</v>
      </c>
      <c r="S124">
        <f t="shared" si="116"/>
        <v>93.86</v>
      </c>
      <c r="T124">
        <f t="shared" si="117"/>
        <v>0</v>
      </c>
      <c r="U124">
        <f t="shared" si="118"/>
        <v>0.15200000000000002</v>
      </c>
      <c r="V124">
        <f t="shared" si="119"/>
        <v>0</v>
      </c>
      <c r="W124">
        <f t="shared" si="120"/>
        <v>0</v>
      </c>
      <c r="X124">
        <f t="shared" si="121"/>
        <v>65.7</v>
      </c>
      <c r="Y124">
        <f t="shared" si="122"/>
        <v>9.39</v>
      </c>
      <c r="AA124">
        <v>1471988752</v>
      </c>
      <c r="AB124">
        <f t="shared" si="123"/>
        <v>939.21</v>
      </c>
      <c r="AC124">
        <f t="shared" si="139"/>
        <v>0.63</v>
      </c>
      <c r="AD124">
        <f t="shared" si="142"/>
        <v>0</v>
      </c>
      <c r="AE124">
        <f t="shared" si="140"/>
        <v>0</v>
      </c>
      <c r="AF124">
        <f t="shared" si="140"/>
        <v>938.58</v>
      </c>
      <c r="AG124">
        <f t="shared" si="124"/>
        <v>0</v>
      </c>
      <c r="AH124">
        <f t="shared" si="141"/>
        <v>1.52</v>
      </c>
      <c r="AI124">
        <f t="shared" si="141"/>
        <v>0</v>
      </c>
      <c r="AJ124">
        <f t="shared" si="125"/>
        <v>0</v>
      </c>
      <c r="AK124">
        <v>939.21</v>
      </c>
      <c r="AL124">
        <v>0.63</v>
      </c>
      <c r="AM124">
        <v>0</v>
      </c>
      <c r="AN124">
        <v>0</v>
      </c>
      <c r="AO124">
        <v>938.58</v>
      </c>
      <c r="AP124">
        <v>0</v>
      </c>
      <c r="AQ124">
        <v>1.52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159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26"/>
        <v>93.92</v>
      </c>
      <c r="CQ124">
        <f t="shared" si="143"/>
        <v>0.63</v>
      </c>
      <c r="CR124">
        <f t="shared" si="144"/>
        <v>0</v>
      </c>
      <c r="CS124">
        <f t="shared" si="145"/>
        <v>0</v>
      </c>
      <c r="CT124">
        <f t="shared" si="146"/>
        <v>938.58</v>
      </c>
      <c r="CU124">
        <f t="shared" si="127"/>
        <v>0</v>
      </c>
      <c r="CV124">
        <f t="shared" si="147"/>
        <v>1.52</v>
      </c>
      <c r="CW124">
        <f t="shared" si="128"/>
        <v>0</v>
      </c>
      <c r="CX124">
        <f t="shared" si="129"/>
        <v>0</v>
      </c>
      <c r="CY124">
        <f t="shared" si="148"/>
        <v>65.701999999999998</v>
      </c>
      <c r="CZ124">
        <f t="shared" si="149"/>
        <v>9.386000000000001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16987630</v>
      </c>
      <c r="DV124" t="s">
        <v>40</v>
      </c>
      <c r="DW124" t="s">
        <v>40</v>
      </c>
      <c r="DX124">
        <v>10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19</v>
      </c>
      <c r="EH124">
        <v>0</v>
      </c>
      <c r="EI124" t="s">
        <v>3</v>
      </c>
      <c r="EJ124">
        <v>4</v>
      </c>
      <c r="EK124">
        <v>0</v>
      </c>
      <c r="EL124" t="s">
        <v>20</v>
      </c>
      <c r="EM124" t="s">
        <v>21</v>
      </c>
      <c r="EO124" t="s">
        <v>3</v>
      </c>
      <c r="EQ124">
        <v>0</v>
      </c>
      <c r="ER124">
        <v>939.21</v>
      </c>
      <c r="ES124">
        <v>0.63</v>
      </c>
      <c r="ET124">
        <v>0</v>
      </c>
      <c r="EU124">
        <v>0</v>
      </c>
      <c r="EV124">
        <v>938.58</v>
      </c>
      <c r="EW124">
        <v>1.52</v>
      </c>
      <c r="EX124">
        <v>0</v>
      </c>
      <c r="EY124">
        <v>0</v>
      </c>
      <c r="FQ124">
        <v>0</v>
      </c>
      <c r="FR124">
        <f t="shared" si="130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923339554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131"/>
        <v>0</v>
      </c>
      <c r="GM124">
        <f t="shared" si="132"/>
        <v>169.01</v>
      </c>
      <c r="GN124">
        <f t="shared" si="133"/>
        <v>0</v>
      </c>
      <c r="GO124">
        <f t="shared" si="134"/>
        <v>0</v>
      </c>
      <c r="GP124">
        <f t="shared" si="135"/>
        <v>169.01</v>
      </c>
      <c r="GR124">
        <v>0</v>
      </c>
      <c r="GS124">
        <v>3</v>
      </c>
      <c r="GT124">
        <v>0</v>
      </c>
      <c r="GU124" t="s">
        <v>3</v>
      </c>
      <c r="GV124">
        <f t="shared" si="136"/>
        <v>0</v>
      </c>
      <c r="GW124">
        <v>1</v>
      </c>
      <c r="GX124">
        <f t="shared" si="137"/>
        <v>0</v>
      </c>
      <c r="HA124">
        <v>0</v>
      </c>
      <c r="HB124">
        <v>0</v>
      </c>
      <c r="HC124">
        <f t="shared" si="138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D125">
        <f>ROW(EtalonRes!A49)</f>
        <v>49</v>
      </c>
      <c r="E125" t="s">
        <v>3</v>
      </c>
      <c r="F125" t="s">
        <v>160</v>
      </c>
      <c r="G125" t="s">
        <v>161</v>
      </c>
      <c r="H125" t="s">
        <v>31</v>
      </c>
      <c r="I125">
        <v>1</v>
      </c>
      <c r="J125">
        <v>0</v>
      </c>
      <c r="K125">
        <v>1</v>
      </c>
      <c r="O125">
        <f t="shared" si="112"/>
        <v>37.049999999999997</v>
      </c>
      <c r="P125">
        <f t="shared" si="113"/>
        <v>0</v>
      </c>
      <c r="Q125">
        <f t="shared" si="114"/>
        <v>0</v>
      </c>
      <c r="R125">
        <f t="shared" si="115"/>
        <v>0</v>
      </c>
      <c r="S125">
        <f t="shared" si="116"/>
        <v>37.049999999999997</v>
      </c>
      <c r="T125">
        <f t="shared" si="117"/>
        <v>0</v>
      </c>
      <c r="U125">
        <f t="shared" si="118"/>
        <v>0.06</v>
      </c>
      <c r="V125">
        <f t="shared" si="119"/>
        <v>0</v>
      </c>
      <c r="W125">
        <f t="shared" si="120"/>
        <v>0</v>
      </c>
      <c r="X125">
        <f t="shared" si="121"/>
        <v>25.94</v>
      </c>
      <c r="Y125">
        <f t="shared" si="122"/>
        <v>3.71</v>
      </c>
      <c r="AA125">
        <v>-1</v>
      </c>
      <c r="AB125">
        <f t="shared" si="123"/>
        <v>37.049999999999997</v>
      </c>
      <c r="AC125">
        <f t="shared" si="139"/>
        <v>0</v>
      </c>
      <c r="AD125">
        <f t="shared" si="142"/>
        <v>0</v>
      </c>
      <c r="AE125">
        <f t="shared" si="140"/>
        <v>0</v>
      </c>
      <c r="AF125">
        <f t="shared" si="140"/>
        <v>37.049999999999997</v>
      </c>
      <c r="AG125">
        <f t="shared" si="124"/>
        <v>0</v>
      </c>
      <c r="AH125">
        <f t="shared" si="141"/>
        <v>0.06</v>
      </c>
      <c r="AI125">
        <f t="shared" si="141"/>
        <v>0</v>
      </c>
      <c r="AJ125">
        <f t="shared" si="125"/>
        <v>0</v>
      </c>
      <c r="AK125">
        <v>37.049999999999997</v>
      </c>
      <c r="AL125">
        <v>0</v>
      </c>
      <c r="AM125">
        <v>0</v>
      </c>
      <c r="AN125">
        <v>0</v>
      </c>
      <c r="AO125">
        <v>37.049999999999997</v>
      </c>
      <c r="AP125">
        <v>0</v>
      </c>
      <c r="AQ125">
        <v>0.06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162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26"/>
        <v>37.049999999999997</v>
      </c>
      <c r="CQ125">
        <f t="shared" si="143"/>
        <v>0</v>
      </c>
      <c r="CR125">
        <f t="shared" si="144"/>
        <v>0</v>
      </c>
      <c r="CS125">
        <f t="shared" si="145"/>
        <v>0</v>
      </c>
      <c r="CT125">
        <f t="shared" si="146"/>
        <v>37.049999999999997</v>
      </c>
      <c r="CU125">
        <f t="shared" si="127"/>
        <v>0</v>
      </c>
      <c r="CV125">
        <f t="shared" si="147"/>
        <v>0.06</v>
      </c>
      <c r="CW125">
        <f t="shared" si="128"/>
        <v>0</v>
      </c>
      <c r="CX125">
        <f t="shared" si="129"/>
        <v>0</v>
      </c>
      <c r="CY125">
        <f t="shared" si="148"/>
        <v>25.934999999999999</v>
      </c>
      <c r="CZ125">
        <f t="shared" si="149"/>
        <v>3.7050000000000001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16987630</v>
      </c>
      <c r="DV125" t="s">
        <v>31</v>
      </c>
      <c r="DW125" t="s">
        <v>31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19</v>
      </c>
      <c r="EH125">
        <v>0</v>
      </c>
      <c r="EI125" t="s">
        <v>3</v>
      </c>
      <c r="EJ125">
        <v>4</v>
      </c>
      <c r="EK125">
        <v>0</v>
      </c>
      <c r="EL125" t="s">
        <v>20</v>
      </c>
      <c r="EM125" t="s">
        <v>21</v>
      </c>
      <c r="EO125" t="s">
        <v>3</v>
      </c>
      <c r="EQ125">
        <v>1024</v>
      </c>
      <c r="ER125">
        <v>37.049999999999997</v>
      </c>
      <c r="ES125">
        <v>0</v>
      </c>
      <c r="ET125">
        <v>0</v>
      </c>
      <c r="EU125">
        <v>0</v>
      </c>
      <c r="EV125">
        <v>37.049999999999997</v>
      </c>
      <c r="EW125">
        <v>0.06</v>
      </c>
      <c r="EX125">
        <v>0</v>
      </c>
      <c r="EY125">
        <v>0</v>
      </c>
      <c r="FQ125">
        <v>0</v>
      </c>
      <c r="FR125">
        <f t="shared" si="130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-392802265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131"/>
        <v>0</v>
      </c>
      <c r="GM125">
        <f t="shared" si="132"/>
        <v>66.7</v>
      </c>
      <c r="GN125">
        <f t="shared" si="133"/>
        <v>0</v>
      </c>
      <c r="GO125">
        <f t="shared" si="134"/>
        <v>0</v>
      </c>
      <c r="GP125">
        <f t="shared" si="135"/>
        <v>66.7</v>
      </c>
      <c r="GR125">
        <v>0</v>
      </c>
      <c r="GS125">
        <v>3</v>
      </c>
      <c r="GT125">
        <v>0</v>
      </c>
      <c r="GU125" t="s">
        <v>3</v>
      </c>
      <c r="GV125">
        <f t="shared" si="136"/>
        <v>0</v>
      </c>
      <c r="GW125">
        <v>1</v>
      </c>
      <c r="GX125">
        <f t="shared" si="137"/>
        <v>0</v>
      </c>
      <c r="HA125">
        <v>0</v>
      </c>
      <c r="HB125">
        <v>0</v>
      </c>
      <c r="HC125">
        <f t="shared" si="138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D126">
        <f>ROW(EtalonRes!A50)</f>
        <v>50</v>
      </c>
      <c r="E126" t="s">
        <v>163</v>
      </c>
      <c r="F126" t="s">
        <v>164</v>
      </c>
      <c r="G126" t="s">
        <v>165</v>
      </c>
      <c r="H126" t="s">
        <v>40</v>
      </c>
      <c r="I126">
        <f>ROUND((2+2)/10,9)</f>
        <v>0.4</v>
      </c>
      <c r="J126">
        <v>0</v>
      </c>
      <c r="K126">
        <f>ROUND((2+2)/10,9)</f>
        <v>0.4</v>
      </c>
      <c r="O126">
        <f t="shared" si="112"/>
        <v>111.15</v>
      </c>
      <c r="P126">
        <f t="shared" si="113"/>
        <v>0</v>
      </c>
      <c r="Q126">
        <f t="shared" si="114"/>
        <v>0</v>
      </c>
      <c r="R126">
        <f t="shared" si="115"/>
        <v>0</v>
      </c>
      <c r="S126">
        <f t="shared" si="116"/>
        <v>111.15</v>
      </c>
      <c r="T126">
        <f t="shared" si="117"/>
        <v>0</v>
      </c>
      <c r="U126">
        <f t="shared" si="118"/>
        <v>0.18000000000000002</v>
      </c>
      <c r="V126">
        <f t="shared" si="119"/>
        <v>0</v>
      </c>
      <c r="W126">
        <f t="shared" si="120"/>
        <v>0</v>
      </c>
      <c r="X126">
        <f t="shared" si="121"/>
        <v>77.81</v>
      </c>
      <c r="Y126">
        <f t="shared" si="122"/>
        <v>11.12</v>
      </c>
      <c r="AA126">
        <v>1471988752</v>
      </c>
      <c r="AB126">
        <f t="shared" si="123"/>
        <v>277.87</v>
      </c>
      <c r="AC126">
        <f t="shared" si="139"/>
        <v>0</v>
      </c>
      <c r="AD126">
        <f t="shared" si="142"/>
        <v>0</v>
      </c>
      <c r="AE126">
        <f t="shared" si="140"/>
        <v>0</v>
      </c>
      <c r="AF126">
        <f t="shared" si="140"/>
        <v>277.87</v>
      </c>
      <c r="AG126">
        <f t="shared" si="124"/>
        <v>0</v>
      </c>
      <c r="AH126">
        <f t="shared" si="141"/>
        <v>0.45</v>
      </c>
      <c r="AI126">
        <f t="shared" si="141"/>
        <v>0</v>
      </c>
      <c r="AJ126">
        <f t="shared" si="125"/>
        <v>0</v>
      </c>
      <c r="AK126">
        <v>277.87</v>
      </c>
      <c r="AL126">
        <v>0</v>
      </c>
      <c r="AM126">
        <v>0</v>
      </c>
      <c r="AN126">
        <v>0</v>
      </c>
      <c r="AO126">
        <v>277.87</v>
      </c>
      <c r="AP126">
        <v>0</v>
      </c>
      <c r="AQ126">
        <v>0.45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166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26"/>
        <v>111.15</v>
      </c>
      <c r="CQ126">
        <f t="shared" si="143"/>
        <v>0</v>
      </c>
      <c r="CR126">
        <f t="shared" si="144"/>
        <v>0</v>
      </c>
      <c r="CS126">
        <f t="shared" si="145"/>
        <v>0</v>
      </c>
      <c r="CT126">
        <f t="shared" si="146"/>
        <v>277.87</v>
      </c>
      <c r="CU126">
        <f t="shared" si="127"/>
        <v>0</v>
      </c>
      <c r="CV126">
        <f t="shared" si="147"/>
        <v>0.45</v>
      </c>
      <c r="CW126">
        <f t="shared" si="128"/>
        <v>0</v>
      </c>
      <c r="CX126">
        <f t="shared" si="129"/>
        <v>0</v>
      </c>
      <c r="CY126">
        <f t="shared" si="148"/>
        <v>77.805000000000007</v>
      </c>
      <c r="CZ126">
        <f t="shared" si="149"/>
        <v>11.115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40</v>
      </c>
      <c r="DW126" t="s">
        <v>40</v>
      </c>
      <c r="DX126">
        <v>10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19</v>
      </c>
      <c r="EH126">
        <v>0</v>
      </c>
      <c r="EI126" t="s">
        <v>3</v>
      </c>
      <c r="EJ126">
        <v>4</v>
      </c>
      <c r="EK126">
        <v>0</v>
      </c>
      <c r="EL126" t="s">
        <v>20</v>
      </c>
      <c r="EM126" t="s">
        <v>21</v>
      </c>
      <c r="EO126" t="s">
        <v>3</v>
      </c>
      <c r="EQ126">
        <v>0</v>
      </c>
      <c r="ER126">
        <v>277.87</v>
      </c>
      <c r="ES126">
        <v>0</v>
      </c>
      <c r="ET126">
        <v>0</v>
      </c>
      <c r="EU126">
        <v>0</v>
      </c>
      <c r="EV126">
        <v>277.87</v>
      </c>
      <c r="EW126">
        <v>0.45</v>
      </c>
      <c r="EX126">
        <v>0</v>
      </c>
      <c r="EY126">
        <v>0</v>
      </c>
      <c r="FQ126">
        <v>0</v>
      </c>
      <c r="FR126">
        <f t="shared" si="130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-559430364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31"/>
        <v>0</v>
      </c>
      <c r="GM126">
        <f t="shared" si="132"/>
        <v>200.08</v>
      </c>
      <c r="GN126">
        <f t="shared" si="133"/>
        <v>0</v>
      </c>
      <c r="GO126">
        <f t="shared" si="134"/>
        <v>0</v>
      </c>
      <c r="GP126">
        <f t="shared" si="135"/>
        <v>200.08</v>
      </c>
      <c r="GR126">
        <v>0</v>
      </c>
      <c r="GS126">
        <v>3</v>
      </c>
      <c r="GT126">
        <v>0</v>
      </c>
      <c r="GU126" t="s">
        <v>3</v>
      </c>
      <c r="GV126">
        <f t="shared" si="136"/>
        <v>0</v>
      </c>
      <c r="GW126">
        <v>1</v>
      </c>
      <c r="GX126">
        <f t="shared" si="137"/>
        <v>0</v>
      </c>
      <c r="HA126">
        <v>0</v>
      </c>
      <c r="HB126">
        <v>0</v>
      </c>
      <c r="HC126">
        <f t="shared" si="138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ROW(EtalonRes!A53)</f>
        <v>53</v>
      </c>
      <c r="E127" t="s">
        <v>167</v>
      </c>
      <c r="F127" t="s">
        <v>168</v>
      </c>
      <c r="G127" t="s">
        <v>169</v>
      </c>
      <c r="H127" t="s">
        <v>40</v>
      </c>
      <c r="I127">
        <f>ROUND(1/10,9)</f>
        <v>0.1</v>
      </c>
      <c r="J127">
        <v>0</v>
      </c>
      <c r="K127">
        <f>ROUND(1/10,9)</f>
        <v>0.1</v>
      </c>
      <c r="O127">
        <f t="shared" si="112"/>
        <v>317.22000000000003</v>
      </c>
      <c r="P127">
        <f t="shared" si="113"/>
        <v>0.16</v>
      </c>
      <c r="Q127">
        <f t="shared" si="114"/>
        <v>0</v>
      </c>
      <c r="R127">
        <f t="shared" si="115"/>
        <v>0</v>
      </c>
      <c r="S127">
        <f t="shared" si="116"/>
        <v>317.06</v>
      </c>
      <c r="T127">
        <f t="shared" si="117"/>
        <v>0</v>
      </c>
      <c r="U127">
        <f t="shared" si="118"/>
        <v>0.56399999999999995</v>
      </c>
      <c r="V127">
        <f t="shared" si="119"/>
        <v>0</v>
      </c>
      <c r="W127">
        <f t="shared" si="120"/>
        <v>0</v>
      </c>
      <c r="X127">
        <f t="shared" si="121"/>
        <v>221.94</v>
      </c>
      <c r="Y127">
        <f t="shared" si="122"/>
        <v>31.71</v>
      </c>
      <c r="AA127">
        <v>1471988752</v>
      </c>
      <c r="AB127">
        <f t="shared" si="123"/>
        <v>3172.21</v>
      </c>
      <c r="AC127">
        <f t="shared" si="139"/>
        <v>1.57</v>
      </c>
      <c r="AD127">
        <f t="shared" si="142"/>
        <v>0</v>
      </c>
      <c r="AE127">
        <f t="shared" si="140"/>
        <v>0</v>
      </c>
      <c r="AF127">
        <f t="shared" si="140"/>
        <v>3170.64</v>
      </c>
      <c r="AG127">
        <f t="shared" si="124"/>
        <v>0</v>
      </c>
      <c r="AH127">
        <f t="shared" si="141"/>
        <v>5.64</v>
      </c>
      <c r="AI127">
        <f t="shared" si="141"/>
        <v>0</v>
      </c>
      <c r="AJ127">
        <f t="shared" si="125"/>
        <v>0</v>
      </c>
      <c r="AK127">
        <v>3172.21</v>
      </c>
      <c r="AL127">
        <v>1.57</v>
      </c>
      <c r="AM127">
        <v>0</v>
      </c>
      <c r="AN127">
        <v>0</v>
      </c>
      <c r="AO127">
        <v>3170.64</v>
      </c>
      <c r="AP127">
        <v>0</v>
      </c>
      <c r="AQ127">
        <v>5.64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170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26"/>
        <v>317.22000000000003</v>
      </c>
      <c r="CQ127">
        <f t="shared" si="143"/>
        <v>1.57</v>
      </c>
      <c r="CR127">
        <f t="shared" si="144"/>
        <v>0</v>
      </c>
      <c r="CS127">
        <f t="shared" si="145"/>
        <v>0</v>
      </c>
      <c r="CT127">
        <f t="shared" si="146"/>
        <v>3170.64</v>
      </c>
      <c r="CU127">
        <f t="shared" si="127"/>
        <v>0</v>
      </c>
      <c r="CV127">
        <f t="shared" si="147"/>
        <v>5.64</v>
      </c>
      <c r="CW127">
        <f t="shared" si="128"/>
        <v>0</v>
      </c>
      <c r="CX127">
        <f t="shared" si="129"/>
        <v>0</v>
      </c>
      <c r="CY127">
        <f t="shared" si="148"/>
        <v>221.94200000000001</v>
      </c>
      <c r="CZ127">
        <f t="shared" si="149"/>
        <v>31.706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16987630</v>
      </c>
      <c r="DV127" t="s">
        <v>40</v>
      </c>
      <c r="DW127" t="s">
        <v>40</v>
      </c>
      <c r="DX127">
        <v>10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19</v>
      </c>
      <c r="EH127">
        <v>0</v>
      </c>
      <c r="EI127" t="s">
        <v>3</v>
      </c>
      <c r="EJ127">
        <v>4</v>
      </c>
      <c r="EK127">
        <v>0</v>
      </c>
      <c r="EL127" t="s">
        <v>20</v>
      </c>
      <c r="EM127" t="s">
        <v>21</v>
      </c>
      <c r="EO127" t="s">
        <v>3</v>
      </c>
      <c r="EQ127">
        <v>0</v>
      </c>
      <c r="ER127">
        <v>3172.21</v>
      </c>
      <c r="ES127">
        <v>1.57</v>
      </c>
      <c r="ET127">
        <v>0</v>
      </c>
      <c r="EU127">
        <v>0</v>
      </c>
      <c r="EV127">
        <v>3170.64</v>
      </c>
      <c r="EW127">
        <v>5.64</v>
      </c>
      <c r="EX127">
        <v>0</v>
      </c>
      <c r="EY127">
        <v>0</v>
      </c>
      <c r="FQ127">
        <v>0</v>
      </c>
      <c r="FR127">
        <f t="shared" si="130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-867235619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31"/>
        <v>0</v>
      </c>
      <c r="GM127">
        <f t="shared" si="132"/>
        <v>570.87</v>
      </c>
      <c r="GN127">
        <f t="shared" si="133"/>
        <v>0</v>
      </c>
      <c r="GO127">
        <f t="shared" si="134"/>
        <v>0</v>
      </c>
      <c r="GP127">
        <f t="shared" si="135"/>
        <v>570.87</v>
      </c>
      <c r="GR127">
        <v>0</v>
      </c>
      <c r="GS127">
        <v>3</v>
      </c>
      <c r="GT127">
        <v>0</v>
      </c>
      <c r="GU127" t="s">
        <v>3</v>
      </c>
      <c r="GV127">
        <f t="shared" si="136"/>
        <v>0</v>
      </c>
      <c r="GW127">
        <v>1</v>
      </c>
      <c r="GX127">
        <f t="shared" si="137"/>
        <v>0</v>
      </c>
      <c r="HA127">
        <v>0</v>
      </c>
      <c r="HB127">
        <v>0</v>
      </c>
      <c r="HC127">
        <f t="shared" si="138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18</v>
      </c>
      <c r="B128">
        <v>1</v>
      </c>
      <c r="E128" t="s">
        <v>171</v>
      </c>
      <c r="F128" t="s">
        <v>172</v>
      </c>
      <c r="G128" t="s">
        <v>173</v>
      </c>
      <c r="H128" t="s">
        <v>31</v>
      </c>
      <c r="I128">
        <f>I127*J128</f>
        <v>4</v>
      </c>
      <c r="J128">
        <v>40</v>
      </c>
      <c r="K128">
        <v>20</v>
      </c>
      <c r="O128">
        <f t="shared" si="112"/>
        <v>1552.24</v>
      </c>
      <c r="P128">
        <f t="shared" si="113"/>
        <v>1552.24</v>
      </c>
      <c r="Q128">
        <f t="shared" si="114"/>
        <v>0</v>
      </c>
      <c r="R128">
        <f t="shared" si="115"/>
        <v>0</v>
      </c>
      <c r="S128">
        <f t="shared" si="116"/>
        <v>0</v>
      </c>
      <c r="T128">
        <f t="shared" si="117"/>
        <v>0</v>
      </c>
      <c r="U128">
        <f t="shared" si="118"/>
        <v>0</v>
      </c>
      <c r="V128">
        <f t="shared" si="119"/>
        <v>0</v>
      </c>
      <c r="W128">
        <f t="shared" si="120"/>
        <v>0</v>
      </c>
      <c r="X128">
        <f t="shared" si="121"/>
        <v>0</v>
      </c>
      <c r="Y128">
        <f t="shared" si="122"/>
        <v>0</v>
      </c>
      <c r="AA128">
        <v>1471988752</v>
      </c>
      <c r="AB128">
        <f t="shared" si="123"/>
        <v>388.06</v>
      </c>
      <c r="AC128">
        <f t="shared" si="139"/>
        <v>388.06</v>
      </c>
      <c r="AD128">
        <f t="shared" si="142"/>
        <v>0</v>
      </c>
      <c r="AE128">
        <f t="shared" si="140"/>
        <v>0</v>
      </c>
      <c r="AF128">
        <f t="shared" si="140"/>
        <v>0</v>
      </c>
      <c r="AG128">
        <f t="shared" si="124"/>
        <v>0</v>
      </c>
      <c r="AH128">
        <f t="shared" si="141"/>
        <v>0</v>
      </c>
      <c r="AI128">
        <f t="shared" si="141"/>
        <v>0</v>
      </c>
      <c r="AJ128">
        <f t="shared" si="125"/>
        <v>0</v>
      </c>
      <c r="AK128">
        <v>388.06</v>
      </c>
      <c r="AL128">
        <v>388.06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4</v>
      </c>
      <c r="BJ128" t="s">
        <v>174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26"/>
        <v>1552.24</v>
      </c>
      <c r="CQ128">
        <f t="shared" si="143"/>
        <v>388.06</v>
      </c>
      <c r="CR128">
        <f t="shared" si="144"/>
        <v>0</v>
      </c>
      <c r="CS128">
        <f t="shared" si="145"/>
        <v>0</v>
      </c>
      <c r="CT128">
        <f t="shared" si="146"/>
        <v>0</v>
      </c>
      <c r="CU128">
        <f t="shared" si="127"/>
        <v>0</v>
      </c>
      <c r="CV128">
        <f t="shared" si="147"/>
        <v>0</v>
      </c>
      <c r="CW128">
        <f t="shared" si="128"/>
        <v>0</v>
      </c>
      <c r="CX128">
        <f t="shared" si="129"/>
        <v>0</v>
      </c>
      <c r="CY128">
        <f t="shared" si="148"/>
        <v>0</v>
      </c>
      <c r="CZ128">
        <f t="shared" si="149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16987630</v>
      </c>
      <c r="DV128" t="s">
        <v>31</v>
      </c>
      <c r="DW128" t="s">
        <v>31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19</v>
      </c>
      <c r="EH128">
        <v>0</v>
      </c>
      <c r="EI128" t="s">
        <v>3</v>
      </c>
      <c r="EJ128">
        <v>4</v>
      </c>
      <c r="EK128">
        <v>0</v>
      </c>
      <c r="EL128" t="s">
        <v>20</v>
      </c>
      <c r="EM128" t="s">
        <v>21</v>
      </c>
      <c r="EO128" t="s">
        <v>3</v>
      </c>
      <c r="EQ128">
        <v>0</v>
      </c>
      <c r="ER128">
        <v>388.06</v>
      </c>
      <c r="ES128">
        <v>388.06</v>
      </c>
      <c r="ET128">
        <v>0</v>
      </c>
      <c r="EU128">
        <v>0</v>
      </c>
      <c r="EV128">
        <v>0</v>
      </c>
      <c r="EW128">
        <v>0</v>
      </c>
      <c r="EX128">
        <v>0</v>
      </c>
      <c r="FQ128">
        <v>0</v>
      </c>
      <c r="FR128">
        <f t="shared" si="130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-679759304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31"/>
        <v>0</v>
      </c>
      <c r="GM128">
        <f t="shared" si="132"/>
        <v>1552.24</v>
      </c>
      <c r="GN128">
        <f t="shared" si="133"/>
        <v>0</v>
      </c>
      <c r="GO128">
        <f t="shared" si="134"/>
        <v>0</v>
      </c>
      <c r="GP128">
        <f t="shared" si="135"/>
        <v>1552.24</v>
      </c>
      <c r="GR128">
        <v>0</v>
      </c>
      <c r="GS128">
        <v>3</v>
      </c>
      <c r="GT128">
        <v>0</v>
      </c>
      <c r="GU128" t="s">
        <v>3</v>
      </c>
      <c r="GV128">
        <f t="shared" si="136"/>
        <v>0</v>
      </c>
      <c r="GW128">
        <v>1</v>
      </c>
      <c r="GX128">
        <f t="shared" si="137"/>
        <v>0</v>
      </c>
      <c r="HA128">
        <v>0</v>
      </c>
      <c r="HB128">
        <v>0</v>
      </c>
      <c r="HC128">
        <f t="shared" si="138"/>
        <v>0</v>
      </c>
      <c r="HE128" t="s">
        <v>3</v>
      </c>
      <c r="HF128" t="s">
        <v>3</v>
      </c>
      <c r="HM128" t="s">
        <v>117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ROW(EtalonRes!A56)</f>
        <v>56</v>
      </c>
      <c r="E129" t="s">
        <v>175</v>
      </c>
      <c r="F129" t="s">
        <v>176</v>
      </c>
      <c r="G129" t="s">
        <v>177</v>
      </c>
      <c r="H129" t="s">
        <v>31</v>
      </c>
      <c r="I129">
        <v>1</v>
      </c>
      <c r="J129">
        <v>0</v>
      </c>
      <c r="K129">
        <v>1</v>
      </c>
      <c r="O129">
        <f t="shared" si="112"/>
        <v>1315.66</v>
      </c>
      <c r="P129">
        <f t="shared" si="113"/>
        <v>38.28</v>
      </c>
      <c r="Q129">
        <f t="shared" si="114"/>
        <v>0</v>
      </c>
      <c r="R129">
        <f t="shared" si="115"/>
        <v>0</v>
      </c>
      <c r="S129">
        <f t="shared" si="116"/>
        <v>1277.3800000000001</v>
      </c>
      <c r="T129">
        <f t="shared" si="117"/>
        <v>0</v>
      </c>
      <c r="U129">
        <f t="shared" si="118"/>
        <v>1.54</v>
      </c>
      <c r="V129">
        <f t="shared" si="119"/>
        <v>0</v>
      </c>
      <c r="W129">
        <f t="shared" si="120"/>
        <v>0</v>
      </c>
      <c r="X129">
        <f t="shared" si="121"/>
        <v>894.17</v>
      </c>
      <c r="Y129">
        <f t="shared" si="122"/>
        <v>127.74</v>
      </c>
      <c r="AA129">
        <v>1471988752</v>
      </c>
      <c r="AB129">
        <f t="shared" si="123"/>
        <v>1315.66</v>
      </c>
      <c r="AC129">
        <f>ROUND(((ES129*2)),6)</f>
        <v>38.28</v>
      </c>
      <c r="AD129">
        <f>ROUND(((((ET129*2))-((EU129*2)))+AE129),6)</f>
        <v>0</v>
      </c>
      <c r="AE129">
        <f>ROUND(((EU129*2)),6)</f>
        <v>0</v>
      </c>
      <c r="AF129">
        <f>ROUND(((EV129*2)),6)</f>
        <v>1277.3800000000001</v>
      </c>
      <c r="AG129">
        <f t="shared" si="124"/>
        <v>0</v>
      </c>
      <c r="AH129">
        <f>((EW129*2))</f>
        <v>1.54</v>
      </c>
      <c r="AI129">
        <f>((EX129*2))</f>
        <v>0</v>
      </c>
      <c r="AJ129">
        <f t="shared" si="125"/>
        <v>0</v>
      </c>
      <c r="AK129">
        <v>657.83</v>
      </c>
      <c r="AL129">
        <v>19.14</v>
      </c>
      <c r="AM129">
        <v>0</v>
      </c>
      <c r="AN129">
        <v>0</v>
      </c>
      <c r="AO129">
        <v>638.69000000000005</v>
      </c>
      <c r="AP129">
        <v>0</v>
      </c>
      <c r="AQ129">
        <v>0.77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178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26"/>
        <v>1315.66</v>
      </c>
      <c r="CQ129">
        <f t="shared" si="143"/>
        <v>38.28</v>
      </c>
      <c r="CR129">
        <f>(((((ET129*2))*BB129-((EU129*2))*BS129)+AE129*BS129)*AV129)</f>
        <v>0</v>
      </c>
      <c r="CS129">
        <f t="shared" si="145"/>
        <v>0</v>
      </c>
      <c r="CT129">
        <f t="shared" si="146"/>
        <v>1277.3800000000001</v>
      </c>
      <c r="CU129">
        <f t="shared" si="127"/>
        <v>0</v>
      </c>
      <c r="CV129">
        <f t="shared" si="147"/>
        <v>1.54</v>
      </c>
      <c r="CW129">
        <f t="shared" si="128"/>
        <v>0</v>
      </c>
      <c r="CX129">
        <f t="shared" si="129"/>
        <v>0</v>
      </c>
      <c r="CY129">
        <f t="shared" si="148"/>
        <v>894.16600000000005</v>
      </c>
      <c r="CZ129">
        <f t="shared" si="149"/>
        <v>127.73800000000001</v>
      </c>
      <c r="DC129" t="s">
        <v>3</v>
      </c>
      <c r="DD129" t="s">
        <v>117</v>
      </c>
      <c r="DE129" t="s">
        <v>117</v>
      </c>
      <c r="DF129" t="s">
        <v>117</v>
      </c>
      <c r="DG129" t="s">
        <v>117</v>
      </c>
      <c r="DH129" t="s">
        <v>3</v>
      </c>
      <c r="DI129" t="s">
        <v>117</v>
      </c>
      <c r="DJ129" t="s">
        <v>117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31</v>
      </c>
      <c r="DW129" t="s">
        <v>31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19</v>
      </c>
      <c r="EH129">
        <v>0</v>
      </c>
      <c r="EI129" t="s">
        <v>3</v>
      </c>
      <c r="EJ129">
        <v>4</v>
      </c>
      <c r="EK129">
        <v>0</v>
      </c>
      <c r="EL129" t="s">
        <v>20</v>
      </c>
      <c r="EM129" t="s">
        <v>21</v>
      </c>
      <c r="EO129" t="s">
        <v>3</v>
      </c>
      <c r="EQ129">
        <v>0</v>
      </c>
      <c r="ER129">
        <v>657.83</v>
      </c>
      <c r="ES129">
        <v>19.14</v>
      </c>
      <c r="ET129">
        <v>0</v>
      </c>
      <c r="EU129">
        <v>0</v>
      </c>
      <c r="EV129">
        <v>638.69000000000005</v>
      </c>
      <c r="EW129">
        <v>0.77</v>
      </c>
      <c r="EX129">
        <v>0</v>
      </c>
      <c r="EY129">
        <v>0</v>
      </c>
      <c r="FQ129">
        <v>0</v>
      </c>
      <c r="FR129">
        <f t="shared" si="130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336816673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31"/>
        <v>0</v>
      </c>
      <c r="GM129">
        <f t="shared" si="132"/>
        <v>2337.5700000000002</v>
      </c>
      <c r="GN129">
        <f t="shared" si="133"/>
        <v>0</v>
      </c>
      <c r="GO129">
        <f t="shared" si="134"/>
        <v>0</v>
      </c>
      <c r="GP129">
        <f t="shared" si="135"/>
        <v>2337.5700000000002</v>
      </c>
      <c r="GR129">
        <v>0</v>
      </c>
      <c r="GS129">
        <v>3</v>
      </c>
      <c r="GT129">
        <v>0</v>
      </c>
      <c r="GU129" t="s">
        <v>3</v>
      </c>
      <c r="GV129">
        <f t="shared" si="136"/>
        <v>0</v>
      </c>
      <c r="GW129">
        <v>1</v>
      </c>
      <c r="GX129">
        <f t="shared" si="137"/>
        <v>0</v>
      </c>
      <c r="HA129">
        <v>0</v>
      </c>
      <c r="HB129">
        <v>0</v>
      </c>
      <c r="HC129">
        <f t="shared" si="138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19</v>
      </c>
      <c r="B130">
        <v>1</v>
      </c>
      <c r="F130" t="s">
        <v>3</v>
      </c>
      <c r="G130" t="s">
        <v>179</v>
      </c>
      <c r="H130" t="s">
        <v>3</v>
      </c>
      <c r="AA130">
        <v>1</v>
      </c>
      <c r="IK130">
        <v>0</v>
      </c>
    </row>
    <row r="131" spans="1:245" x14ac:dyDescent="0.2">
      <c r="A131">
        <v>17</v>
      </c>
      <c r="B131">
        <v>1</v>
      </c>
      <c r="D131">
        <f>ROW(EtalonRes!A57)</f>
        <v>57</v>
      </c>
      <c r="E131" t="s">
        <v>3</v>
      </c>
      <c r="F131" t="s">
        <v>147</v>
      </c>
      <c r="G131" t="s">
        <v>148</v>
      </c>
      <c r="H131" t="s">
        <v>31</v>
      </c>
      <c r="I131">
        <v>8</v>
      </c>
      <c r="J131">
        <v>0</v>
      </c>
      <c r="K131">
        <v>8</v>
      </c>
      <c r="O131">
        <f t="shared" ref="O131:O146" si="150">ROUND(CP131,2)</f>
        <v>5779.68</v>
      </c>
      <c r="P131">
        <f t="shared" ref="P131:P146" si="151">ROUND(CQ131*I131,2)</f>
        <v>0</v>
      </c>
      <c r="Q131">
        <f t="shared" ref="Q131:Q146" si="152">ROUND(CR131*I131,2)</f>
        <v>0</v>
      </c>
      <c r="R131">
        <f t="shared" ref="R131:R146" si="153">ROUND(CS131*I131,2)</f>
        <v>0</v>
      </c>
      <c r="S131">
        <f t="shared" ref="S131:S146" si="154">ROUND(CT131*I131,2)</f>
        <v>5779.68</v>
      </c>
      <c r="T131">
        <f t="shared" ref="T131:T146" si="155">ROUND(CU131*I131,2)</f>
        <v>0</v>
      </c>
      <c r="U131">
        <f t="shared" ref="U131:U146" si="156">CV131*I131</f>
        <v>9.36</v>
      </c>
      <c r="V131">
        <f t="shared" ref="V131:V146" si="157">CW131*I131</f>
        <v>0</v>
      </c>
      <c r="W131">
        <f t="shared" ref="W131:W146" si="158">ROUND(CX131*I131,2)</f>
        <v>0</v>
      </c>
      <c r="X131">
        <f t="shared" ref="X131:X146" si="159">ROUND(CY131,2)</f>
        <v>4045.78</v>
      </c>
      <c r="Y131">
        <f t="shared" ref="Y131:Y146" si="160">ROUND(CZ131,2)</f>
        <v>577.97</v>
      </c>
      <c r="AA131">
        <v>-1</v>
      </c>
      <c r="AB131">
        <f t="shared" ref="AB131:AB146" si="161">ROUND((AC131+AD131+AF131),6)</f>
        <v>722.46</v>
      </c>
      <c r="AC131">
        <f>ROUND((ES131),6)</f>
        <v>0</v>
      </c>
      <c r="AD131">
        <f>ROUND((((ET131)-(EU131))+AE131),6)</f>
        <v>0</v>
      </c>
      <c r="AE131">
        <f t="shared" ref="AE131:AF133" si="162">ROUND((EU131),6)</f>
        <v>0</v>
      </c>
      <c r="AF131">
        <f t="shared" si="162"/>
        <v>722.46</v>
      </c>
      <c r="AG131">
        <f t="shared" ref="AG131:AG146" si="163">ROUND((AP131),6)</f>
        <v>0</v>
      </c>
      <c r="AH131">
        <f t="shared" ref="AH131:AI133" si="164">(EW131)</f>
        <v>1.17</v>
      </c>
      <c r="AI131">
        <f t="shared" si="164"/>
        <v>0</v>
      </c>
      <c r="AJ131">
        <f t="shared" ref="AJ131:AJ146" si="165">(AS131)</f>
        <v>0</v>
      </c>
      <c r="AK131">
        <v>722.46</v>
      </c>
      <c r="AL131">
        <v>0</v>
      </c>
      <c r="AM131">
        <v>0</v>
      </c>
      <c r="AN131">
        <v>0</v>
      </c>
      <c r="AO131">
        <v>722.46</v>
      </c>
      <c r="AP131">
        <v>0</v>
      </c>
      <c r="AQ131">
        <v>1.17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149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ref="CP131:CP146" si="166">(P131+Q131+S131)</f>
        <v>5779.68</v>
      </c>
      <c r="CQ131">
        <f>(AC131*BC131*AW131)</f>
        <v>0</v>
      </c>
      <c r="CR131">
        <f>((((ET131)*BB131-(EU131)*BS131)+AE131*BS131)*AV131)</f>
        <v>0</v>
      </c>
      <c r="CS131">
        <f>(AE131*BS131*AV131)</f>
        <v>0</v>
      </c>
      <c r="CT131">
        <f>(AF131*BA131*AV131)</f>
        <v>722.46</v>
      </c>
      <c r="CU131">
        <f t="shared" ref="CU131:CU146" si="167">AG131</f>
        <v>0</v>
      </c>
      <c r="CV131">
        <f>(AH131*AV131)</f>
        <v>1.17</v>
      </c>
      <c r="CW131">
        <f t="shared" ref="CW131:CW146" si="168">AI131</f>
        <v>0</v>
      </c>
      <c r="CX131">
        <f t="shared" ref="CX131:CX146" si="169">AJ131</f>
        <v>0</v>
      </c>
      <c r="CY131">
        <f>((S131*BZ131)/100)</f>
        <v>4045.7760000000003</v>
      </c>
      <c r="CZ131">
        <f>((S131*CA131)/100)</f>
        <v>577.96800000000007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31</v>
      </c>
      <c r="DW131" t="s">
        <v>31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19</v>
      </c>
      <c r="EH131">
        <v>0</v>
      </c>
      <c r="EI131" t="s">
        <v>3</v>
      </c>
      <c r="EJ131">
        <v>4</v>
      </c>
      <c r="EK131">
        <v>0</v>
      </c>
      <c r="EL131" t="s">
        <v>20</v>
      </c>
      <c r="EM131" t="s">
        <v>21</v>
      </c>
      <c r="EO131" t="s">
        <v>3</v>
      </c>
      <c r="EQ131">
        <v>1024</v>
      </c>
      <c r="ER131">
        <v>722.46</v>
      </c>
      <c r="ES131">
        <v>0</v>
      </c>
      <c r="ET131">
        <v>0</v>
      </c>
      <c r="EU131">
        <v>0</v>
      </c>
      <c r="EV131">
        <v>722.46</v>
      </c>
      <c r="EW131">
        <v>1.17</v>
      </c>
      <c r="EX131">
        <v>0</v>
      </c>
      <c r="EY131">
        <v>0</v>
      </c>
      <c r="FQ131">
        <v>0</v>
      </c>
      <c r="FR131">
        <f t="shared" ref="FR131:FR146" si="170">ROUND(IF(BI131=3,GM131,0),2)</f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1164262949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ref="GL131:GL146" si="171">ROUND(IF(AND(BH131=3,BI131=3,FS131&lt;&gt;0),P131,0),2)</f>
        <v>0</v>
      </c>
      <c r="GM131">
        <f t="shared" ref="GM131:GM146" si="172">ROUND(O131+X131+Y131+GK131,2)+GX131</f>
        <v>10403.43</v>
      </c>
      <c r="GN131">
        <f t="shared" ref="GN131:GN146" si="173">IF(OR(BI131=0,BI131=1),GM131-GX131,0)</f>
        <v>0</v>
      </c>
      <c r="GO131">
        <f t="shared" ref="GO131:GO146" si="174">IF(BI131=2,GM131-GX131,0)</f>
        <v>0</v>
      </c>
      <c r="GP131">
        <f t="shared" ref="GP131:GP146" si="175">IF(BI131=4,GM131-GX131,0)</f>
        <v>10403.43</v>
      </c>
      <c r="GR131">
        <v>0</v>
      </c>
      <c r="GS131">
        <v>3</v>
      </c>
      <c r="GT131">
        <v>0</v>
      </c>
      <c r="GU131" t="s">
        <v>3</v>
      </c>
      <c r="GV131">
        <f t="shared" ref="GV131:GV146" si="176">ROUND((GT131),6)</f>
        <v>0</v>
      </c>
      <c r="GW131">
        <v>1</v>
      </c>
      <c r="GX131">
        <f t="shared" ref="GX131:GX146" si="177">ROUND(HC131*I131,2)</f>
        <v>0</v>
      </c>
      <c r="HA131">
        <v>0</v>
      </c>
      <c r="HB131">
        <v>0</v>
      </c>
      <c r="HC131">
        <f t="shared" ref="HC131:HC146" si="178">GV131*GW131</f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E132" t="s">
        <v>3</v>
      </c>
      <c r="F132" t="s">
        <v>150</v>
      </c>
      <c r="G132" t="s">
        <v>151</v>
      </c>
      <c r="H132" t="s">
        <v>152</v>
      </c>
      <c r="I132">
        <v>8</v>
      </c>
      <c r="J132">
        <v>0</v>
      </c>
      <c r="K132">
        <v>8</v>
      </c>
      <c r="O132">
        <f t="shared" si="150"/>
        <v>1440</v>
      </c>
      <c r="P132">
        <f t="shared" si="151"/>
        <v>1440</v>
      </c>
      <c r="Q132">
        <f t="shared" si="152"/>
        <v>0</v>
      </c>
      <c r="R132">
        <f t="shared" si="153"/>
        <v>0</v>
      </c>
      <c r="S132">
        <f t="shared" si="154"/>
        <v>0</v>
      </c>
      <c r="T132">
        <f t="shared" si="155"/>
        <v>0</v>
      </c>
      <c r="U132">
        <f t="shared" si="156"/>
        <v>0</v>
      </c>
      <c r="V132">
        <f t="shared" si="157"/>
        <v>0</v>
      </c>
      <c r="W132">
        <f t="shared" si="158"/>
        <v>0</v>
      </c>
      <c r="X132">
        <f t="shared" si="159"/>
        <v>0</v>
      </c>
      <c r="Y132">
        <f t="shared" si="160"/>
        <v>0</v>
      </c>
      <c r="AA132">
        <v>-1</v>
      </c>
      <c r="AB132">
        <f t="shared" si="161"/>
        <v>180</v>
      </c>
      <c r="AC132">
        <f>ROUND((ES132),6)</f>
        <v>180</v>
      </c>
      <c r="AD132">
        <f>ROUND((ET132),6)</f>
        <v>0</v>
      </c>
      <c r="AE132">
        <f t="shared" si="162"/>
        <v>0</v>
      </c>
      <c r="AF132">
        <f t="shared" si="162"/>
        <v>0</v>
      </c>
      <c r="AG132">
        <f t="shared" si="163"/>
        <v>0</v>
      </c>
      <c r="AH132">
        <f t="shared" si="164"/>
        <v>0</v>
      </c>
      <c r="AI132">
        <f t="shared" si="164"/>
        <v>0</v>
      </c>
      <c r="AJ132">
        <f t="shared" si="165"/>
        <v>0</v>
      </c>
      <c r="AK132">
        <v>180</v>
      </c>
      <c r="AL132">
        <v>180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0</v>
      </c>
      <c r="BJ132" t="s">
        <v>3</v>
      </c>
      <c r="BM132">
        <v>356</v>
      </c>
      <c r="BN132">
        <v>0</v>
      </c>
      <c r="BO132" t="s">
        <v>3</v>
      </c>
      <c r="BP132">
        <v>0</v>
      </c>
      <c r="BQ132">
        <v>0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66"/>
        <v>1440</v>
      </c>
      <c r="CQ132">
        <f>AC132*BC132</f>
        <v>180</v>
      </c>
      <c r="CR132">
        <f>AD132*BB132</f>
        <v>0</v>
      </c>
      <c r="CS132">
        <f>AE132*BS132</f>
        <v>0</v>
      </c>
      <c r="CT132">
        <f>AF132*BA132</f>
        <v>0</v>
      </c>
      <c r="CU132">
        <f t="shared" si="167"/>
        <v>0</v>
      </c>
      <c r="CV132">
        <f>AH132</f>
        <v>0</v>
      </c>
      <c r="CW132">
        <f t="shared" si="168"/>
        <v>0</v>
      </c>
      <c r="CX132">
        <f t="shared" si="169"/>
        <v>0</v>
      </c>
      <c r="CY132">
        <f>0</f>
        <v>0</v>
      </c>
      <c r="CZ132">
        <f>0</f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152</v>
      </c>
      <c r="DW132" t="s">
        <v>152</v>
      </c>
      <c r="DX132">
        <v>7.0999999999999994E-2</v>
      </c>
      <c r="DZ132" t="s">
        <v>3</v>
      </c>
      <c r="EA132" t="s">
        <v>3</v>
      </c>
      <c r="EB132" t="s">
        <v>3</v>
      </c>
      <c r="EC132" t="s">
        <v>3</v>
      </c>
      <c r="EE132">
        <v>0</v>
      </c>
      <c r="EF132">
        <v>0</v>
      </c>
      <c r="EG132" t="s">
        <v>3</v>
      </c>
      <c r="EH132">
        <v>0</v>
      </c>
      <c r="EI132" t="s">
        <v>3</v>
      </c>
      <c r="EJ132">
        <v>0</v>
      </c>
      <c r="EK132">
        <v>356</v>
      </c>
      <c r="EL132" t="s">
        <v>3</v>
      </c>
      <c r="EM132" t="s">
        <v>3</v>
      </c>
      <c r="EO132" t="s">
        <v>3</v>
      </c>
      <c r="EQ132">
        <v>1024</v>
      </c>
      <c r="ER132">
        <v>180</v>
      </c>
      <c r="ES132">
        <v>180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1440</v>
      </c>
      <c r="FR132">
        <f t="shared" si="170"/>
        <v>0</v>
      </c>
      <c r="FS132">
        <v>1</v>
      </c>
      <c r="FX132">
        <v>0</v>
      </c>
      <c r="FY132">
        <v>0</v>
      </c>
      <c r="GA132" t="s">
        <v>3</v>
      </c>
      <c r="GD132">
        <v>0</v>
      </c>
      <c r="GF132">
        <v>-54322067</v>
      </c>
      <c r="GG132">
        <v>2</v>
      </c>
      <c r="GH132">
        <v>0</v>
      </c>
      <c r="GI132">
        <v>-2</v>
      </c>
      <c r="GJ132">
        <v>0</v>
      </c>
      <c r="GK132">
        <f>ROUND(R132*(R12)/100,2)</f>
        <v>0</v>
      </c>
      <c r="GL132">
        <f t="shared" si="171"/>
        <v>0</v>
      </c>
      <c r="GM132">
        <f t="shared" si="172"/>
        <v>1440</v>
      </c>
      <c r="GN132">
        <f t="shared" si="173"/>
        <v>1440</v>
      </c>
      <c r="GO132">
        <f t="shared" si="174"/>
        <v>0</v>
      </c>
      <c r="GP132">
        <f t="shared" si="175"/>
        <v>0</v>
      </c>
      <c r="GR132">
        <v>0</v>
      </c>
      <c r="GS132">
        <v>0</v>
      </c>
      <c r="GT132">
        <v>0</v>
      </c>
      <c r="GU132" t="s">
        <v>3</v>
      </c>
      <c r="GV132">
        <f t="shared" si="176"/>
        <v>0</v>
      </c>
      <c r="GW132">
        <v>1</v>
      </c>
      <c r="GX132">
        <f t="shared" si="177"/>
        <v>0</v>
      </c>
      <c r="HA132">
        <v>0</v>
      </c>
      <c r="HB132">
        <v>0</v>
      </c>
      <c r="HC132">
        <f t="shared" si="17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ROW(EtalonRes!A59)</f>
        <v>59</v>
      </c>
      <c r="E133" t="s">
        <v>3</v>
      </c>
      <c r="F133" t="s">
        <v>153</v>
      </c>
      <c r="G133" t="s">
        <v>154</v>
      </c>
      <c r="H133" t="s">
        <v>40</v>
      </c>
      <c r="I133">
        <f>ROUND(8/10,9)</f>
        <v>0.8</v>
      </c>
      <c r="J133">
        <v>0</v>
      </c>
      <c r="K133">
        <f>ROUND(8/10,9)</f>
        <v>0.8</v>
      </c>
      <c r="O133">
        <f t="shared" si="150"/>
        <v>444.84</v>
      </c>
      <c r="P133">
        <f t="shared" si="151"/>
        <v>0.25</v>
      </c>
      <c r="Q133">
        <f t="shared" si="152"/>
        <v>0</v>
      </c>
      <c r="R133">
        <f t="shared" si="153"/>
        <v>0</v>
      </c>
      <c r="S133">
        <f t="shared" si="154"/>
        <v>444.59</v>
      </c>
      <c r="T133">
        <f t="shared" si="155"/>
        <v>0</v>
      </c>
      <c r="U133">
        <f t="shared" si="156"/>
        <v>0.72000000000000008</v>
      </c>
      <c r="V133">
        <f t="shared" si="157"/>
        <v>0</v>
      </c>
      <c r="W133">
        <f t="shared" si="158"/>
        <v>0</v>
      </c>
      <c r="X133">
        <f t="shared" si="159"/>
        <v>311.20999999999998</v>
      </c>
      <c r="Y133">
        <f t="shared" si="160"/>
        <v>44.46</v>
      </c>
      <c r="AA133">
        <v>-1</v>
      </c>
      <c r="AB133">
        <f t="shared" si="161"/>
        <v>556.04999999999995</v>
      </c>
      <c r="AC133">
        <f>ROUND((ES133),6)</f>
        <v>0.31</v>
      </c>
      <c r="AD133">
        <f>ROUND((((ET133)-(EU133))+AE133),6)</f>
        <v>0</v>
      </c>
      <c r="AE133">
        <f t="shared" si="162"/>
        <v>0</v>
      </c>
      <c r="AF133">
        <f t="shared" si="162"/>
        <v>555.74</v>
      </c>
      <c r="AG133">
        <f t="shared" si="163"/>
        <v>0</v>
      </c>
      <c r="AH133">
        <f t="shared" si="164"/>
        <v>0.9</v>
      </c>
      <c r="AI133">
        <f t="shared" si="164"/>
        <v>0</v>
      </c>
      <c r="AJ133">
        <f t="shared" si="165"/>
        <v>0</v>
      </c>
      <c r="AK133">
        <v>556.04999999999995</v>
      </c>
      <c r="AL133">
        <v>0.31</v>
      </c>
      <c r="AM133">
        <v>0</v>
      </c>
      <c r="AN133">
        <v>0</v>
      </c>
      <c r="AO133">
        <v>555.74</v>
      </c>
      <c r="AP133">
        <v>0</v>
      </c>
      <c r="AQ133">
        <v>0.9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155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66"/>
        <v>444.84</v>
      </c>
      <c r="CQ133">
        <f t="shared" ref="CQ133:CQ146" si="179">(AC133*BC133*AW133)</f>
        <v>0.31</v>
      </c>
      <c r="CR133">
        <f>((((ET133)*BB133-(EU133)*BS133)+AE133*BS133)*AV133)</f>
        <v>0</v>
      </c>
      <c r="CS133">
        <f t="shared" ref="CS133:CS146" si="180">(AE133*BS133*AV133)</f>
        <v>0</v>
      </c>
      <c r="CT133">
        <f t="shared" ref="CT133:CT146" si="181">(AF133*BA133*AV133)</f>
        <v>555.74</v>
      </c>
      <c r="CU133">
        <f t="shared" si="167"/>
        <v>0</v>
      </c>
      <c r="CV133">
        <f t="shared" ref="CV133:CV146" si="182">(AH133*AV133)</f>
        <v>0.9</v>
      </c>
      <c r="CW133">
        <f t="shared" si="168"/>
        <v>0</v>
      </c>
      <c r="CX133">
        <f t="shared" si="169"/>
        <v>0</v>
      </c>
      <c r="CY133">
        <f t="shared" ref="CY133:CY146" si="183">((S133*BZ133)/100)</f>
        <v>311.21299999999997</v>
      </c>
      <c r="CZ133">
        <f t="shared" ref="CZ133:CZ146" si="184">((S133*CA133)/100)</f>
        <v>44.458999999999996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40</v>
      </c>
      <c r="DW133" t="s">
        <v>40</v>
      </c>
      <c r="DX133">
        <v>10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19</v>
      </c>
      <c r="EH133">
        <v>0</v>
      </c>
      <c r="EI133" t="s">
        <v>3</v>
      </c>
      <c r="EJ133">
        <v>4</v>
      </c>
      <c r="EK133">
        <v>0</v>
      </c>
      <c r="EL133" t="s">
        <v>20</v>
      </c>
      <c r="EM133" t="s">
        <v>21</v>
      </c>
      <c r="EO133" t="s">
        <v>3</v>
      </c>
      <c r="EQ133">
        <v>1024</v>
      </c>
      <c r="ER133">
        <v>556.04999999999995</v>
      </c>
      <c r="ES133">
        <v>0.31</v>
      </c>
      <c r="ET133">
        <v>0</v>
      </c>
      <c r="EU133">
        <v>0</v>
      </c>
      <c r="EV133">
        <v>555.74</v>
      </c>
      <c r="EW133">
        <v>0.9</v>
      </c>
      <c r="EX133">
        <v>0</v>
      </c>
      <c r="EY133">
        <v>0</v>
      </c>
      <c r="FQ133">
        <v>0</v>
      </c>
      <c r="FR133">
        <f t="shared" si="170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505455875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71"/>
        <v>0</v>
      </c>
      <c r="GM133">
        <f t="shared" si="172"/>
        <v>800.51</v>
      </c>
      <c r="GN133">
        <f t="shared" si="173"/>
        <v>0</v>
      </c>
      <c r="GO133">
        <f t="shared" si="174"/>
        <v>0</v>
      </c>
      <c r="GP133">
        <f t="shared" si="175"/>
        <v>800.51</v>
      </c>
      <c r="GR133">
        <v>0</v>
      </c>
      <c r="GS133">
        <v>3</v>
      </c>
      <c r="GT133">
        <v>0</v>
      </c>
      <c r="GU133" t="s">
        <v>3</v>
      </c>
      <c r="GV133">
        <f t="shared" si="176"/>
        <v>0</v>
      </c>
      <c r="GW133">
        <v>1</v>
      </c>
      <c r="GX133">
        <f t="shared" si="177"/>
        <v>0</v>
      </c>
      <c r="HA133">
        <v>0</v>
      </c>
      <c r="HB133">
        <v>0</v>
      </c>
      <c r="HC133">
        <f t="shared" si="17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ROW(EtalonRes!A60)</f>
        <v>60</v>
      </c>
      <c r="E134" t="s">
        <v>180</v>
      </c>
      <c r="F134" t="s">
        <v>181</v>
      </c>
      <c r="G134" t="s">
        <v>182</v>
      </c>
      <c r="H134" t="s">
        <v>31</v>
      </c>
      <c r="I134">
        <f>ROUND(2+1,9)</f>
        <v>3</v>
      </c>
      <c r="J134">
        <v>0</v>
      </c>
      <c r="K134">
        <f>ROUND(2+1,9)</f>
        <v>3</v>
      </c>
      <c r="O134">
        <f t="shared" si="150"/>
        <v>2963.94</v>
      </c>
      <c r="P134">
        <f t="shared" si="151"/>
        <v>0</v>
      </c>
      <c r="Q134">
        <f t="shared" si="152"/>
        <v>0</v>
      </c>
      <c r="R134">
        <f t="shared" si="153"/>
        <v>0</v>
      </c>
      <c r="S134">
        <f t="shared" si="154"/>
        <v>2963.94</v>
      </c>
      <c r="T134">
        <f t="shared" si="155"/>
        <v>0</v>
      </c>
      <c r="U134">
        <f t="shared" si="156"/>
        <v>4.8000000000000007</v>
      </c>
      <c r="V134">
        <f t="shared" si="157"/>
        <v>0</v>
      </c>
      <c r="W134">
        <f t="shared" si="158"/>
        <v>0</v>
      </c>
      <c r="X134">
        <f t="shared" si="159"/>
        <v>2074.7600000000002</v>
      </c>
      <c r="Y134">
        <f t="shared" si="160"/>
        <v>296.39</v>
      </c>
      <c r="AA134">
        <v>1471988752</v>
      </c>
      <c r="AB134">
        <f t="shared" si="161"/>
        <v>987.98</v>
      </c>
      <c r="AC134">
        <f>ROUND(((ES134*2)),6)</f>
        <v>0</v>
      </c>
      <c r="AD134">
        <f>ROUND(((((ET134*2))-((EU134*2)))+AE134),6)</f>
        <v>0</v>
      </c>
      <c r="AE134">
        <f>ROUND(((EU134*2)),6)</f>
        <v>0</v>
      </c>
      <c r="AF134">
        <f>ROUND(((EV134*2)),6)</f>
        <v>987.98</v>
      </c>
      <c r="AG134">
        <f t="shared" si="163"/>
        <v>0</v>
      </c>
      <c r="AH134">
        <f>((EW134*2))</f>
        <v>1.6</v>
      </c>
      <c r="AI134">
        <f>((EX134*2))</f>
        <v>0</v>
      </c>
      <c r="AJ134">
        <f t="shared" si="165"/>
        <v>0</v>
      </c>
      <c r="AK134">
        <v>493.99</v>
      </c>
      <c r="AL134">
        <v>0</v>
      </c>
      <c r="AM134">
        <v>0</v>
      </c>
      <c r="AN134">
        <v>0</v>
      </c>
      <c r="AO134">
        <v>493.99</v>
      </c>
      <c r="AP134">
        <v>0</v>
      </c>
      <c r="AQ134">
        <v>0.8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183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66"/>
        <v>2963.94</v>
      </c>
      <c r="CQ134">
        <f t="shared" si="179"/>
        <v>0</v>
      </c>
      <c r="CR134">
        <f>(((((ET134*2))*BB134-((EU134*2))*BS134)+AE134*BS134)*AV134)</f>
        <v>0</v>
      </c>
      <c r="CS134">
        <f t="shared" si="180"/>
        <v>0</v>
      </c>
      <c r="CT134">
        <f t="shared" si="181"/>
        <v>987.98</v>
      </c>
      <c r="CU134">
        <f t="shared" si="167"/>
        <v>0</v>
      </c>
      <c r="CV134">
        <f t="shared" si="182"/>
        <v>1.6</v>
      </c>
      <c r="CW134">
        <f t="shared" si="168"/>
        <v>0</v>
      </c>
      <c r="CX134">
        <f t="shared" si="169"/>
        <v>0</v>
      </c>
      <c r="CY134">
        <f t="shared" si="183"/>
        <v>2074.7580000000003</v>
      </c>
      <c r="CZ134">
        <f t="shared" si="184"/>
        <v>296.39400000000001</v>
      </c>
      <c r="DC134" t="s">
        <v>3</v>
      </c>
      <c r="DD134" t="s">
        <v>117</v>
      </c>
      <c r="DE134" t="s">
        <v>117</v>
      </c>
      <c r="DF134" t="s">
        <v>117</v>
      </c>
      <c r="DG134" t="s">
        <v>117</v>
      </c>
      <c r="DH134" t="s">
        <v>3</v>
      </c>
      <c r="DI134" t="s">
        <v>117</v>
      </c>
      <c r="DJ134" t="s">
        <v>117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31</v>
      </c>
      <c r="DW134" t="s">
        <v>31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19</v>
      </c>
      <c r="EH134">
        <v>0</v>
      </c>
      <c r="EI134" t="s">
        <v>3</v>
      </c>
      <c r="EJ134">
        <v>4</v>
      </c>
      <c r="EK134">
        <v>0</v>
      </c>
      <c r="EL134" t="s">
        <v>20</v>
      </c>
      <c r="EM134" t="s">
        <v>21</v>
      </c>
      <c r="EO134" t="s">
        <v>3</v>
      </c>
      <c r="EQ134">
        <v>0</v>
      </c>
      <c r="ER134">
        <v>493.99</v>
      </c>
      <c r="ES134">
        <v>0</v>
      </c>
      <c r="ET134">
        <v>0</v>
      </c>
      <c r="EU134">
        <v>0</v>
      </c>
      <c r="EV134">
        <v>493.99</v>
      </c>
      <c r="EW134">
        <v>0.8</v>
      </c>
      <c r="EX134">
        <v>0</v>
      </c>
      <c r="EY134">
        <v>0</v>
      </c>
      <c r="FQ134">
        <v>0</v>
      </c>
      <c r="FR134">
        <f t="shared" si="170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-1923446589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71"/>
        <v>0</v>
      </c>
      <c r="GM134">
        <f t="shared" si="172"/>
        <v>5335.09</v>
      </c>
      <c r="GN134">
        <f t="shared" si="173"/>
        <v>0</v>
      </c>
      <c r="GO134">
        <f t="shared" si="174"/>
        <v>0</v>
      </c>
      <c r="GP134">
        <f t="shared" si="175"/>
        <v>5335.09</v>
      </c>
      <c r="GR134">
        <v>0</v>
      </c>
      <c r="GS134">
        <v>3</v>
      </c>
      <c r="GT134">
        <v>0</v>
      </c>
      <c r="GU134" t="s">
        <v>3</v>
      </c>
      <c r="GV134">
        <f t="shared" si="176"/>
        <v>0</v>
      </c>
      <c r="GW134">
        <v>1</v>
      </c>
      <c r="GX134">
        <f t="shared" si="177"/>
        <v>0</v>
      </c>
      <c r="HA134">
        <v>0</v>
      </c>
      <c r="HB134">
        <v>0</v>
      </c>
      <c r="HC134">
        <f t="shared" si="17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ROW(EtalonRes!A62)</f>
        <v>62</v>
      </c>
      <c r="E135" t="s">
        <v>184</v>
      </c>
      <c r="F135" t="s">
        <v>185</v>
      </c>
      <c r="G135" t="s">
        <v>186</v>
      </c>
      <c r="H135" t="s">
        <v>31</v>
      </c>
      <c r="I135">
        <f>ROUND(1+2,9)</f>
        <v>3</v>
      </c>
      <c r="J135">
        <v>0</v>
      </c>
      <c r="K135">
        <f>ROUND(1+2,9)</f>
        <v>3</v>
      </c>
      <c r="O135">
        <f t="shared" si="150"/>
        <v>372.9</v>
      </c>
      <c r="P135">
        <f t="shared" si="151"/>
        <v>1.89</v>
      </c>
      <c r="Q135">
        <f t="shared" si="152"/>
        <v>0</v>
      </c>
      <c r="R135">
        <f t="shared" si="153"/>
        <v>0</v>
      </c>
      <c r="S135">
        <f t="shared" si="154"/>
        <v>371.01</v>
      </c>
      <c r="T135">
        <f t="shared" si="155"/>
        <v>0</v>
      </c>
      <c r="U135">
        <f t="shared" si="156"/>
        <v>0.66</v>
      </c>
      <c r="V135">
        <f t="shared" si="157"/>
        <v>0</v>
      </c>
      <c r="W135">
        <f t="shared" si="158"/>
        <v>0</v>
      </c>
      <c r="X135">
        <f t="shared" si="159"/>
        <v>259.70999999999998</v>
      </c>
      <c r="Y135">
        <f t="shared" si="160"/>
        <v>37.1</v>
      </c>
      <c r="AA135">
        <v>1471988752</v>
      </c>
      <c r="AB135">
        <f t="shared" si="161"/>
        <v>124.3</v>
      </c>
      <c r="AC135">
        <f>ROUND((ES135),6)</f>
        <v>0.63</v>
      </c>
      <c r="AD135">
        <f>ROUND((((ET135)-(EU135))+AE135),6)</f>
        <v>0</v>
      </c>
      <c r="AE135">
        <f>ROUND((EU135),6)</f>
        <v>0</v>
      </c>
      <c r="AF135">
        <f>ROUND((EV135),6)</f>
        <v>123.67</v>
      </c>
      <c r="AG135">
        <f t="shared" si="163"/>
        <v>0</v>
      </c>
      <c r="AH135">
        <f>(EW135)</f>
        <v>0.22</v>
      </c>
      <c r="AI135">
        <f>(EX135)</f>
        <v>0</v>
      </c>
      <c r="AJ135">
        <f t="shared" si="165"/>
        <v>0</v>
      </c>
      <c r="AK135">
        <v>124.3</v>
      </c>
      <c r="AL135">
        <v>0.63</v>
      </c>
      <c r="AM135">
        <v>0</v>
      </c>
      <c r="AN135">
        <v>0</v>
      </c>
      <c r="AO135">
        <v>123.67</v>
      </c>
      <c r="AP135">
        <v>0</v>
      </c>
      <c r="AQ135">
        <v>0.22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187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66"/>
        <v>372.9</v>
      </c>
      <c r="CQ135">
        <f t="shared" si="179"/>
        <v>0.63</v>
      </c>
      <c r="CR135">
        <f>((((ET135)*BB135-(EU135)*BS135)+AE135*BS135)*AV135)</f>
        <v>0</v>
      </c>
      <c r="CS135">
        <f t="shared" si="180"/>
        <v>0</v>
      </c>
      <c r="CT135">
        <f t="shared" si="181"/>
        <v>123.67</v>
      </c>
      <c r="CU135">
        <f t="shared" si="167"/>
        <v>0</v>
      </c>
      <c r="CV135">
        <f t="shared" si="182"/>
        <v>0.22</v>
      </c>
      <c r="CW135">
        <f t="shared" si="168"/>
        <v>0</v>
      </c>
      <c r="CX135">
        <f t="shared" si="169"/>
        <v>0</v>
      </c>
      <c r="CY135">
        <f t="shared" si="183"/>
        <v>259.70699999999999</v>
      </c>
      <c r="CZ135">
        <f t="shared" si="184"/>
        <v>37.100999999999999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31</v>
      </c>
      <c r="DW135" t="s">
        <v>31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19</v>
      </c>
      <c r="EH135">
        <v>0</v>
      </c>
      <c r="EI135" t="s">
        <v>3</v>
      </c>
      <c r="EJ135">
        <v>4</v>
      </c>
      <c r="EK135">
        <v>0</v>
      </c>
      <c r="EL135" t="s">
        <v>20</v>
      </c>
      <c r="EM135" t="s">
        <v>21</v>
      </c>
      <c r="EO135" t="s">
        <v>3</v>
      </c>
      <c r="EQ135">
        <v>0</v>
      </c>
      <c r="ER135">
        <v>124.3</v>
      </c>
      <c r="ES135">
        <v>0.63</v>
      </c>
      <c r="ET135">
        <v>0</v>
      </c>
      <c r="EU135">
        <v>0</v>
      </c>
      <c r="EV135">
        <v>123.67</v>
      </c>
      <c r="EW135">
        <v>0.22</v>
      </c>
      <c r="EX135">
        <v>0</v>
      </c>
      <c r="EY135">
        <v>0</v>
      </c>
      <c r="FQ135">
        <v>0</v>
      </c>
      <c r="FR135">
        <f t="shared" si="170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109369204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171"/>
        <v>0</v>
      </c>
      <c r="GM135">
        <f t="shared" si="172"/>
        <v>669.71</v>
      </c>
      <c r="GN135">
        <f t="shared" si="173"/>
        <v>0</v>
      </c>
      <c r="GO135">
        <f t="shared" si="174"/>
        <v>0</v>
      </c>
      <c r="GP135">
        <f t="shared" si="175"/>
        <v>669.71</v>
      </c>
      <c r="GR135">
        <v>0</v>
      </c>
      <c r="GS135">
        <v>3</v>
      </c>
      <c r="GT135">
        <v>0</v>
      </c>
      <c r="GU135" t="s">
        <v>3</v>
      </c>
      <c r="GV135">
        <f t="shared" si="176"/>
        <v>0</v>
      </c>
      <c r="GW135">
        <v>1</v>
      </c>
      <c r="GX135">
        <f t="shared" si="177"/>
        <v>0</v>
      </c>
      <c r="HA135">
        <v>0</v>
      </c>
      <c r="HB135">
        <v>0</v>
      </c>
      <c r="HC135">
        <f t="shared" si="17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D136">
        <f>ROW(EtalonRes!A64)</f>
        <v>64</v>
      </c>
      <c r="E136" t="s">
        <v>188</v>
      </c>
      <c r="F136" t="s">
        <v>189</v>
      </c>
      <c r="G136" t="s">
        <v>190</v>
      </c>
      <c r="H136" t="s">
        <v>31</v>
      </c>
      <c r="I136">
        <v>1</v>
      </c>
      <c r="J136">
        <v>0</v>
      </c>
      <c r="K136">
        <v>1</v>
      </c>
      <c r="O136">
        <f t="shared" si="150"/>
        <v>572.36</v>
      </c>
      <c r="P136">
        <f t="shared" si="151"/>
        <v>0</v>
      </c>
      <c r="Q136">
        <f t="shared" si="152"/>
        <v>156.36000000000001</v>
      </c>
      <c r="R136">
        <f t="shared" si="153"/>
        <v>99.14</v>
      </c>
      <c r="S136">
        <f t="shared" si="154"/>
        <v>416</v>
      </c>
      <c r="T136">
        <f t="shared" si="155"/>
        <v>0</v>
      </c>
      <c r="U136">
        <f t="shared" si="156"/>
        <v>0.74</v>
      </c>
      <c r="V136">
        <f t="shared" si="157"/>
        <v>0</v>
      </c>
      <c r="W136">
        <f t="shared" si="158"/>
        <v>0</v>
      </c>
      <c r="X136">
        <f t="shared" si="159"/>
        <v>291.2</v>
      </c>
      <c r="Y136">
        <f t="shared" si="160"/>
        <v>41.6</v>
      </c>
      <c r="AA136">
        <v>1471988752</v>
      </c>
      <c r="AB136">
        <f t="shared" si="161"/>
        <v>572.36</v>
      </c>
      <c r="AC136">
        <f>ROUND(((ES136*2)),6)</f>
        <v>0</v>
      </c>
      <c r="AD136">
        <f>ROUND(((((ET136*2))-((EU136*2)))+AE136),6)</f>
        <v>156.36000000000001</v>
      </c>
      <c r="AE136">
        <f>ROUND(((EU136*2)),6)</f>
        <v>99.14</v>
      </c>
      <c r="AF136">
        <f>ROUND(((EV136*2)),6)</f>
        <v>416</v>
      </c>
      <c r="AG136">
        <f t="shared" si="163"/>
        <v>0</v>
      </c>
      <c r="AH136">
        <f>((EW136*2))</f>
        <v>0.74</v>
      </c>
      <c r="AI136">
        <f>((EX136*2))</f>
        <v>0</v>
      </c>
      <c r="AJ136">
        <f t="shared" si="165"/>
        <v>0</v>
      </c>
      <c r="AK136">
        <v>286.18</v>
      </c>
      <c r="AL136">
        <v>0</v>
      </c>
      <c r="AM136">
        <v>78.180000000000007</v>
      </c>
      <c r="AN136">
        <v>49.57</v>
      </c>
      <c r="AO136">
        <v>208</v>
      </c>
      <c r="AP136">
        <v>0</v>
      </c>
      <c r="AQ136">
        <v>0.37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191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66"/>
        <v>572.36</v>
      </c>
      <c r="CQ136">
        <f t="shared" si="179"/>
        <v>0</v>
      </c>
      <c r="CR136">
        <f>(((((ET136*2))*BB136-((EU136*2))*BS136)+AE136*BS136)*AV136)</f>
        <v>156.36000000000001</v>
      </c>
      <c r="CS136">
        <f t="shared" si="180"/>
        <v>99.14</v>
      </c>
      <c r="CT136">
        <f t="shared" si="181"/>
        <v>416</v>
      </c>
      <c r="CU136">
        <f t="shared" si="167"/>
        <v>0</v>
      </c>
      <c r="CV136">
        <f t="shared" si="182"/>
        <v>0.74</v>
      </c>
      <c r="CW136">
        <f t="shared" si="168"/>
        <v>0</v>
      </c>
      <c r="CX136">
        <f t="shared" si="169"/>
        <v>0</v>
      </c>
      <c r="CY136">
        <f t="shared" si="183"/>
        <v>291.2</v>
      </c>
      <c r="CZ136">
        <f t="shared" si="184"/>
        <v>41.6</v>
      </c>
      <c r="DC136" t="s">
        <v>3</v>
      </c>
      <c r="DD136" t="s">
        <v>117</v>
      </c>
      <c r="DE136" t="s">
        <v>117</v>
      </c>
      <c r="DF136" t="s">
        <v>117</v>
      </c>
      <c r="DG136" t="s">
        <v>117</v>
      </c>
      <c r="DH136" t="s">
        <v>3</v>
      </c>
      <c r="DI136" t="s">
        <v>117</v>
      </c>
      <c r="DJ136" t="s">
        <v>117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16987630</v>
      </c>
      <c r="DV136" t="s">
        <v>31</v>
      </c>
      <c r="DW136" t="s">
        <v>31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19</v>
      </c>
      <c r="EH136">
        <v>0</v>
      </c>
      <c r="EI136" t="s">
        <v>3</v>
      </c>
      <c r="EJ136">
        <v>4</v>
      </c>
      <c r="EK136">
        <v>0</v>
      </c>
      <c r="EL136" t="s">
        <v>20</v>
      </c>
      <c r="EM136" t="s">
        <v>21</v>
      </c>
      <c r="EO136" t="s">
        <v>3</v>
      </c>
      <c r="EQ136">
        <v>0</v>
      </c>
      <c r="ER136">
        <v>286.18</v>
      </c>
      <c r="ES136">
        <v>0</v>
      </c>
      <c r="ET136">
        <v>78.180000000000007</v>
      </c>
      <c r="EU136">
        <v>49.57</v>
      </c>
      <c r="EV136">
        <v>208</v>
      </c>
      <c r="EW136">
        <v>0.37</v>
      </c>
      <c r="EX136">
        <v>0</v>
      </c>
      <c r="EY136">
        <v>0</v>
      </c>
      <c r="FQ136">
        <v>0</v>
      </c>
      <c r="FR136">
        <f t="shared" si="170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1213498802</v>
      </c>
      <c r="GG136">
        <v>2</v>
      </c>
      <c r="GH136">
        <v>1</v>
      </c>
      <c r="GI136">
        <v>-2</v>
      </c>
      <c r="GJ136">
        <v>0</v>
      </c>
      <c r="GK136">
        <f>ROUND(R136*(R12)/100,2)</f>
        <v>107.07</v>
      </c>
      <c r="GL136">
        <f t="shared" si="171"/>
        <v>0</v>
      </c>
      <c r="GM136">
        <f t="shared" si="172"/>
        <v>1012.23</v>
      </c>
      <c r="GN136">
        <f t="shared" si="173"/>
        <v>0</v>
      </c>
      <c r="GO136">
        <f t="shared" si="174"/>
        <v>0</v>
      </c>
      <c r="GP136">
        <f t="shared" si="175"/>
        <v>1012.23</v>
      </c>
      <c r="GR136">
        <v>0</v>
      </c>
      <c r="GS136">
        <v>3</v>
      </c>
      <c r="GT136">
        <v>0</v>
      </c>
      <c r="GU136" t="s">
        <v>3</v>
      </c>
      <c r="GV136">
        <f t="shared" si="176"/>
        <v>0</v>
      </c>
      <c r="GW136">
        <v>1</v>
      </c>
      <c r="GX136">
        <f t="shared" si="177"/>
        <v>0</v>
      </c>
      <c r="HA136">
        <v>0</v>
      </c>
      <c r="HB136">
        <v>0</v>
      </c>
      <c r="HC136">
        <f t="shared" si="17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D137">
        <f>ROW(EtalonRes!A65)</f>
        <v>65</v>
      </c>
      <c r="E137" t="s">
        <v>192</v>
      </c>
      <c r="F137" t="s">
        <v>193</v>
      </c>
      <c r="G137" t="s">
        <v>194</v>
      </c>
      <c r="H137" t="s">
        <v>31</v>
      </c>
      <c r="I137">
        <v>1</v>
      </c>
      <c r="J137">
        <v>0</v>
      </c>
      <c r="K137">
        <v>1</v>
      </c>
      <c r="O137">
        <f t="shared" si="150"/>
        <v>2687.48</v>
      </c>
      <c r="P137">
        <f t="shared" si="151"/>
        <v>0</v>
      </c>
      <c r="Q137">
        <f t="shared" si="152"/>
        <v>0</v>
      </c>
      <c r="R137">
        <f t="shared" si="153"/>
        <v>0</v>
      </c>
      <c r="S137">
        <f t="shared" si="154"/>
        <v>2687.48</v>
      </c>
      <c r="T137">
        <f t="shared" si="155"/>
        <v>0</v>
      </c>
      <c r="U137">
        <f t="shared" si="156"/>
        <v>3.24</v>
      </c>
      <c r="V137">
        <f t="shared" si="157"/>
        <v>0</v>
      </c>
      <c r="W137">
        <f t="shared" si="158"/>
        <v>0</v>
      </c>
      <c r="X137">
        <f t="shared" si="159"/>
        <v>1881.24</v>
      </c>
      <c r="Y137">
        <f t="shared" si="160"/>
        <v>268.75</v>
      </c>
      <c r="AA137">
        <v>1471988752</v>
      </c>
      <c r="AB137">
        <f t="shared" si="161"/>
        <v>2687.48</v>
      </c>
      <c r="AC137">
        <f>ROUND(((ES137*2)),6)</f>
        <v>0</v>
      </c>
      <c r="AD137">
        <f>ROUND(((((ET137*2))-((EU137*2)))+AE137),6)</f>
        <v>0</v>
      </c>
      <c r="AE137">
        <f>ROUND(((EU137*2)),6)</f>
        <v>0</v>
      </c>
      <c r="AF137">
        <f>ROUND(((EV137*2)),6)</f>
        <v>2687.48</v>
      </c>
      <c r="AG137">
        <f t="shared" si="163"/>
        <v>0</v>
      </c>
      <c r="AH137">
        <f>((EW137*2))</f>
        <v>3.24</v>
      </c>
      <c r="AI137">
        <f>((EX137*2))</f>
        <v>0</v>
      </c>
      <c r="AJ137">
        <f t="shared" si="165"/>
        <v>0</v>
      </c>
      <c r="AK137">
        <v>1343.74</v>
      </c>
      <c r="AL137">
        <v>0</v>
      </c>
      <c r="AM137">
        <v>0</v>
      </c>
      <c r="AN137">
        <v>0</v>
      </c>
      <c r="AO137">
        <v>1343.74</v>
      </c>
      <c r="AP137">
        <v>0</v>
      </c>
      <c r="AQ137">
        <v>1.62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195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66"/>
        <v>2687.48</v>
      </c>
      <c r="CQ137">
        <f t="shared" si="179"/>
        <v>0</v>
      </c>
      <c r="CR137">
        <f>(((((ET137*2))*BB137-((EU137*2))*BS137)+AE137*BS137)*AV137)</f>
        <v>0</v>
      </c>
      <c r="CS137">
        <f t="shared" si="180"/>
        <v>0</v>
      </c>
      <c r="CT137">
        <f t="shared" si="181"/>
        <v>2687.48</v>
      </c>
      <c r="CU137">
        <f t="shared" si="167"/>
        <v>0</v>
      </c>
      <c r="CV137">
        <f t="shared" si="182"/>
        <v>3.24</v>
      </c>
      <c r="CW137">
        <f t="shared" si="168"/>
        <v>0</v>
      </c>
      <c r="CX137">
        <f t="shared" si="169"/>
        <v>0</v>
      </c>
      <c r="CY137">
        <f t="shared" si="183"/>
        <v>1881.2360000000001</v>
      </c>
      <c r="CZ137">
        <f t="shared" si="184"/>
        <v>268.74799999999999</v>
      </c>
      <c r="DC137" t="s">
        <v>3</v>
      </c>
      <c r="DD137" t="s">
        <v>117</v>
      </c>
      <c r="DE137" t="s">
        <v>117</v>
      </c>
      <c r="DF137" t="s">
        <v>117</v>
      </c>
      <c r="DG137" t="s">
        <v>117</v>
      </c>
      <c r="DH137" t="s">
        <v>3</v>
      </c>
      <c r="DI137" t="s">
        <v>117</v>
      </c>
      <c r="DJ137" t="s">
        <v>117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31</v>
      </c>
      <c r="DW137" t="s">
        <v>31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19</v>
      </c>
      <c r="EH137">
        <v>0</v>
      </c>
      <c r="EI137" t="s">
        <v>3</v>
      </c>
      <c r="EJ137">
        <v>4</v>
      </c>
      <c r="EK137">
        <v>0</v>
      </c>
      <c r="EL137" t="s">
        <v>20</v>
      </c>
      <c r="EM137" t="s">
        <v>21</v>
      </c>
      <c r="EO137" t="s">
        <v>3</v>
      </c>
      <c r="EQ137">
        <v>0</v>
      </c>
      <c r="ER137">
        <v>1343.74</v>
      </c>
      <c r="ES137">
        <v>0</v>
      </c>
      <c r="ET137">
        <v>0</v>
      </c>
      <c r="EU137">
        <v>0</v>
      </c>
      <c r="EV137">
        <v>1343.74</v>
      </c>
      <c r="EW137">
        <v>1.62</v>
      </c>
      <c r="EX137">
        <v>0</v>
      </c>
      <c r="EY137">
        <v>0</v>
      </c>
      <c r="FQ137">
        <v>0</v>
      </c>
      <c r="FR137">
        <f t="shared" si="170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1081179689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71"/>
        <v>0</v>
      </c>
      <c r="GM137">
        <f t="shared" si="172"/>
        <v>4837.47</v>
      </c>
      <c r="GN137">
        <f t="shared" si="173"/>
        <v>0</v>
      </c>
      <c r="GO137">
        <f t="shared" si="174"/>
        <v>0</v>
      </c>
      <c r="GP137">
        <f t="shared" si="175"/>
        <v>4837.47</v>
      </c>
      <c r="GR137">
        <v>0</v>
      </c>
      <c r="GS137">
        <v>3</v>
      </c>
      <c r="GT137">
        <v>0</v>
      </c>
      <c r="GU137" t="s">
        <v>3</v>
      </c>
      <c r="GV137">
        <f t="shared" si="176"/>
        <v>0</v>
      </c>
      <c r="GW137">
        <v>1</v>
      </c>
      <c r="GX137">
        <f t="shared" si="177"/>
        <v>0</v>
      </c>
      <c r="HA137">
        <v>0</v>
      </c>
      <c r="HB137">
        <v>0</v>
      </c>
      <c r="HC137">
        <f t="shared" si="17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D138">
        <f>ROW(EtalonRes!A67)</f>
        <v>67</v>
      </c>
      <c r="E138" t="s">
        <v>196</v>
      </c>
      <c r="F138" t="s">
        <v>197</v>
      </c>
      <c r="G138" t="s">
        <v>198</v>
      </c>
      <c r="H138" t="s">
        <v>31</v>
      </c>
      <c r="I138">
        <v>6</v>
      </c>
      <c r="J138">
        <v>0</v>
      </c>
      <c r="K138">
        <v>6</v>
      </c>
      <c r="O138">
        <f t="shared" si="150"/>
        <v>813.3</v>
      </c>
      <c r="P138">
        <f t="shared" si="151"/>
        <v>3.78</v>
      </c>
      <c r="Q138">
        <f t="shared" si="152"/>
        <v>0</v>
      </c>
      <c r="R138">
        <f t="shared" si="153"/>
        <v>0</v>
      </c>
      <c r="S138">
        <f t="shared" si="154"/>
        <v>809.52</v>
      </c>
      <c r="T138">
        <f t="shared" si="155"/>
        <v>0</v>
      </c>
      <c r="U138">
        <f t="shared" si="156"/>
        <v>1.44</v>
      </c>
      <c r="V138">
        <f t="shared" si="157"/>
        <v>0</v>
      </c>
      <c r="W138">
        <f t="shared" si="158"/>
        <v>0</v>
      </c>
      <c r="X138">
        <f t="shared" si="159"/>
        <v>566.66</v>
      </c>
      <c r="Y138">
        <f t="shared" si="160"/>
        <v>80.95</v>
      </c>
      <c r="AA138">
        <v>1471988752</v>
      </c>
      <c r="AB138">
        <f t="shared" si="161"/>
        <v>135.55000000000001</v>
      </c>
      <c r="AC138">
        <f>ROUND((ES138),6)</f>
        <v>0.63</v>
      </c>
      <c r="AD138">
        <f>ROUND((((ET138)-(EU138))+AE138),6)</f>
        <v>0</v>
      </c>
      <c r="AE138">
        <f>ROUND((EU138),6)</f>
        <v>0</v>
      </c>
      <c r="AF138">
        <f>ROUND((EV138),6)</f>
        <v>134.91999999999999</v>
      </c>
      <c r="AG138">
        <f t="shared" si="163"/>
        <v>0</v>
      </c>
      <c r="AH138">
        <f>(EW138)</f>
        <v>0.24</v>
      </c>
      <c r="AI138">
        <f>(EX138)</f>
        <v>0</v>
      </c>
      <c r="AJ138">
        <f t="shared" si="165"/>
        <v>0</v>
      </c>
      <c r="AK138">
        <v>135.55000000000001</v>
      </c>
      <c r="AL138">
        <v>0.63</v>
      </c>
      <c r="AM138">
        <v>0</v>
      </c>
      <c r="AN138">
        <v>0</v>
      </c>
      <c r="AO138">
        <v>134.91999999999999</v>
      </c>
      <c r="AP138">
        <v>0</v>
      </c>
      <c r="AQ138">
        <v>0.24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199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66"/>
        <v>813.3</v>
      </c>
      <c r="CQ138">
        <f t="shared" si="179"/>
        <v>0.63</v>
      </c>
      <c r="CR138">
        <f>((((ET138)*BB138-(EU138)*BS138)+AE138*BS138)*AV138)</f>
        <v>0</v>
      </c>
      <c r="CS138">
        <f t="shared" si="180"/>
        <v>0</v>
      </c>
      <c r="CT138">
        <f t="shared" si="181"/>
        <v>134.91999999999999</v>
      </c>
      <c r="CU138">
        <f t="shared" si="167"/>
        <v>0</v>
      </c>
      <c r="CV138">
        <f t="shared" si="182"/>
        <v>0.24</v>
      </c>
      <c r="CW138">
        <f t="shared" si="168"/>
        <v>0</v>
      </c>
      <c r="CX138">
        <f t="shared" si="169"/>
        <v>0</v>
      </c>
      <c r="CY138">
        <f t="shared" si="183"/>
        <v>566.66399999999999</v>
      </c>
      <c r="CZ138">
        <f t="shared" si="184"/>
        <v>80.951999999999998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16987630</v>
      </c>
      <c r="DV138" t="s">
        <v>31</v>
      </c>
      <c r="DW138" t="s">
        <v>31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19</v>
      </c>
      <c r="EH138">
        <v>0</v>
      </c>
      <c r="EI138" t="s">
        <v>3</v>
      </c>
      <c r="EJ138">
        <v>4</v>
      </c>
      <c r="EK138">
        <v>0</v>
      </c>
      <c r="EL138" t="s">
        <v>20</v>
      </c>
      <c r="EM138" t="s">
        <v>21</v>
      </c>
      <c r="EO138" t="s">
        <v>3</v>
      </c>
      <c r="EQ138">
        <v>0</v>
      </c>
      <c r="ER138">
        <v>135.55000000000001</v>
      </c>
      <c r="ES138">
        <v>0.63</v>
      </c>
      <c r="ET138">
        <v>0</v>
      </c>
      <c r="EU138">
        <v>0</v>
      </c>
      <c r="EV138">
        <v>134.91999999999999</v>
      </c>
      <c r="EW138">
        <v>0.24</v>
      </c>
      <c r="EX138">
        <v>0</v>
      </c>
      <c r="EY138">
        <v>0</v>
      </c>
      <c r="FQ138">
        <v>0</v>
      </c>
      <c r="FR138">
        <f t="shared" si="170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-1714317955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71"/>
        <v>0</v>
      </c>
      <c r="GM138">
        <f t="shared" si="172"/>
        <v>1460.91</v>
      </c>
      <c r="GN138">
        <f t="shared" si="173"/>
        <v>0</v>
      </c>
      <c r="GO138">
        <f t="shared" si="174"/>
        <v>0</v>
      </c>
      <c r="GP138">
        <f t="shared" si="175"/>
        <v>1460.91</v>
      </c>
      <c r="GR138">
        <v>0</v>
      </c>
      <c r="GS138">
        <v>3</v>
      </c>
      <c r="GT138">
        <v>0</v>
      </c>
      <c r="GU138" t="s">
        <v>3</v>
      </c>
      <c r="GV138">
        <f t="shared" si="176"/>
        <v>0</v>
      </c>
      <c r="GW138">
        <v>1</v>
      </c>
      <c r="GX138">
        <f t="shared" si="177"/>
        <v>0</v>
      </c>
      <c r="HA138">
        <v>0</v>
      </c>
      <c r="HB138">
        <v>0</v>
      </c>
      <c r="HC138">
        <f t="shared" si="17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ROW(EtalonRes!A68)</f>
        <v>68</v>
      </c>
      <c r="E139" t="s">
        <v>3</v>
      </c>
      <c r="F139" t="s">
        <v>160</v>
      </c>
      <c r="G139" t="s">
        <v>161</v>
      </c>
      <c r="H139" t="s">
        <v>31</v>
      </c>
      <c r="I139">
        <v>4</v>
      </c>
      <c r="J139">
        <v>0</v>
      </c>
      <c r="K139">
        <v>4</v>
      </c>
      <c r="O139">
        <f t="shared" si="150"/>
        <v>148.19999999999999</v>
      </c>
      <c r="P139">
        <f t="shared" si="151"/>
        <v>0</v>
      </c>
      <c r="Q139">
        <f t="shared" si="152"/>
        <v>0</v>
      </c>
      <c r="R139">
        <f t="shared" si="153"/>
        <v>0</v>
      </c>
      <c r="S139">
        <f t="shared" si="154"/>
        <v>148.19999999999999</v>
      </c>
      <c r="T139">
        <f t="shared" si="155"/>
        <v>0</v>
      </c>
      <c r="U139">
        <f t="shared" si="156"/>
        <v>0.24</v>
      </c>
      <c r="V139">
        <f t="shared" si="157"/>
        <v>0</v>
      </c>
      <c r="W139">
        <f t="shared" si="158"/>
        <v>0</v>
      </c>
      <c r="X139">
        <f t="shared" si="159"/>
        <v>103.74</v>
      </c>
      <c r="Y139">
        <f t="shared" si="160"/>
        <v>14.82</v>
      </c>
      <c r="AA139">
        <v>-1</v>
      </c>
      <c r="AB139">
        <f t="shared" si="161"/>
        <v>37.049999999999997</v>
      </c>
      <c r="AC139">
        <f>ROUND((ES139),6)</f>
        <v>0</v>
      </c>
      <c r="AD139">
        <f>ROUND((((ET139)-(EU139))+AE139),6)</f>
        <v>0</v>
      </c>
      <c r="AE139">
        <f>ROUND((EU139),6)</f>
        <v>0</v>
      </c>
      <c r="AF139">
        <f>ROUND((EV139),6)</f>
        <v>37.049999999999997</v>
      </c>
      <c r="AG139">
        <f t="shared" si="163"/>
        <v>0</v>
      </c>
      <c r="AH139">
        <f>(EW139)</f>
        <v>0.06</v>
      </c>
      <c r="AI139">
        <f>(EX139)</f>
        <v>0</v>
      </c>
      <c r="AJ139">
        <f t="shared" si="165"/>
        <v>0</v>
      </c>
      <c r="AK139">
        <v>37.049999999999997</v>
      </c>
      <c r="AL139">
        <v>0</v>
      </c>
      <c r="AM139">
        <v>0</v>
      </c>
      <c r="AN139">
        <v>0</v>
      </c>
      <c r="AO139">
        <v>37.049999999999997</v>
      </c>
      <c r="AP139">
        <v>0</v>
      </c>
      <c r="AQ139">
        <v>0.06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162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66"/>
        <v>148.19999999999999</v>
      </c>
      <c r="CQ139">
        <f t="shared" si="179"/>
        <v>0</v>
      </c>
      <c r="CR139">
        <f>((((ET139)*BB139-(EU139)*BS139)+AE139*BS139)*AV139)</f>
        <v>0</v>
      </c>
      <c r="CS139">
        <f t="shared" si="180"/>
        <v>0</v>
      </c>
      <c r="CT139">
        <f t="shared" si="181"/>
        <v>37.049999999999997</v>
      </c>
      <c r="CU139">
        <f t="shared" si="167"/>
        <v>0</v>
      </c>
      <c r="CV139">
        <f t="shared" si="182"/>
        <v>0.06</v>
      </c>
      <c r="CW139">
        <f t="shared" si="168"/>
        <v>0</v>
      </c>
      <c r="CX139">
        <f t="shared" si="169"/>
        <v>0</v>
      </c>
      <c r="CY139">
        <f t="shared" si="183"/>
        <v>103.74</v>
      </c>
      <c r="CZ139">
        <f t="shared" si="184"/>
        <v>14.82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16987630</v>
      </c>
      <c r="DV139" t="s">
        <v>31</v>
      </c>
      <c r="DW139" t="s">
        <v>31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19</v>
      </c>
      <c r="EH139">
        <v>0</v>
      </c>
      <c r="EI139" t="s">
        <v>3</v>
      </c>
      <c r="EJ139">
        <v>4</v>
      </c>
      <c r="EK139">
        <v>0</v>
      </c>
      <c r="EL139" t="s">
        <v>20</v>
      </c>
      <c r="EM139" t="s">
        <v>21</v>
      </c>
      <c r="EO139" t="s">
        <v>3</v>
      </c>
      <c r="EQ139">
        <v>1024</v>
      </c>
      <c r="ER139">
        <v>37.049999999999997</v>
      </c>
      <c r="ES139">
        <v>0</v>
      </c>
      <c r="ET139">
        <v>0</v>
      </c>
      <c r="EU139">
        <v>0</v>
      </c>
      <c r="EV139">
        <v>37.049999999999997</v>
      </c>
      <c r="EW139">
        <v>0.06</v>
      </c>
      <c r="EX139">
        <v>0</v>
      </c>
      <c r="EY139">
        <v>0</v>
      </c>
      <c r="FQ139">
        <v>0</v>
      </c>
      <c r="FR139">
        <f t="shared" si="170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-392802265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71"/>
        <v>0</v>
      </c>
      <c r="GM139">
        <f t="shared" si="172"/>
        <v>266.76</v>
      </c>
      <c r="GN139">
        <f t="shared" si="173"/>
        <v>0</v>
      </c>
      <c r="GO139">
        <f t="shared" si="174"/>
        <v>0</v>
      </c>
      <c r="GP139">
        <f t="shared" si="175"/>
        <v>266.76</v>
      </c>
      <c r="GR139">
        <v>0</v>
      </c>
      <c r="GS139">
        <v>3</v>
      </c>
      <c r="GT139">
        <v>0</v>
      </c>
      <c r="GU139" t="s">
        <v>3</v>
      </c>
      <c r="GV139">
        <f t="shared" si="176"/>
        <v>0</v>
      </c>
      <c r="GW139">
        <v>1</v>
      </c>
      <c r="GX139">
        <f t="shared" si="177"/>
        <v>0</v>
      </c>
      <c r="HA139">
        <v>0</v>
      </c>
      <c r="HB139">
        <v>0</v>
      </c>
      <c r="HC139">
        <f t="shared" si="17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ROW(EtalonRes!A71)</f>
        <v>71</v>
      </c>
      <c r="E140" t="s">
        <v>200</v>
      </c>
      <c r="F140" t="s">
        <v>201</v>
      </c>
      <c r="G140" t="s">
        <v>202</v>
      </c>
      <c r="H140" t="s">
        <v>31</v>
      </c>
      <c r="I140">
        <v>2</v>
      </c>
      <c r="J140">
        <v>0</v>
      </c>
      <c r="K140">
        <v>2</v>
      </c>
      <c r="O140">
        <f t="shared" si="150"/>
        <v>3924.72</v>
      </c>
      <c r="P140">
        <f t="shared" si="151"/>
        <v>5.04</v>
      </c>
      <c r="Q140">
        <f t="shared" si="152"/>
        <v>1563.6</v>
      </c>
      <c r="R140">
        <f t="shared" si="153"/>
        <v>991.44</v>
      </c>
      <c r="S140">
        <f t="shared" si="154"/>
        <v>2356.08</v>
      </c>
      <c r="T140">
        <f t="shared" si="155"/>
        <v>0</v>
      </c>
      <c r="U140">
        <f t="shared" si="156"/>
        <v>3.36</v>
      </c>
      <c r="V140">
        <f t="shared" si="157"/>
        <v>0</v>
      </c>
      <c r="W140">
        <f t="shared" si="158"/>
        <v>0</v>
      </c>
      <c r="X140">
        <f t="shared" si="159"/>
        <v>1649.26</v>
      </c>
      <c r="Y140">
        <f t="shared" si="160"/>
        <v>235.61</v>
      </c>
      <c r="AA140">
        <v>1471988752</v>
      </c>
      <c r="AB140">
        <f t="shared" si="161"/>
        <v>1962.36</v>
      </c>
      <c r="AC140">
        <f>ROUND(((ES140*4)),6)</f>
        <v>2.52</v>
      </c>
      <c r="AD140">
        <f>ROUND(((((ET140*4))-((EU140*4)))+AE140),6)</f>
        <v>781.8</v>
      </c>
      <c r="AE140">
        <f>ROUND(((EU140*4)),6)</f>
        <v>495.72</v>
      </c>
      <c r="AF140">
        <f>ROUND(((EV140*4)),6)</f>
        <v>1178.04</v>
      </c>
      <c r="AG140">
        <f t="shared" si="163"/>
        <v>0</v>
      </c>
      <c r="AH140">
        <f>((EW140*4))</f>
        <v>1.68</v>
      </c>
      <c r="AI140">
        <f>((EX140*4))</f>
        <v>0</v>
      </c>
      <c r="AJ140">
        <f t="shared" si="165"/>
        <v>0</v>
      </c>
      <c r="AK140">
        <v>490.59</v>
      </c>
      <c r="AL140">
        <v>0.63</v>
      </c>
      <c r="AM140">
        <v>195.45</v>
      </c>
      <c r="AN140">
        <v>123.93</v>
      </c>
      <c r="AO140">
        <v>294.51</v>
      </c>
      <c r="AP140">
        <v>0</v>
      </c>
      <c r="AQ140">
        <v>0.42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203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66"/>
        <v>3924.72</v>
      </c>
      <c r="CQ140">
        <f t="shared" si="179"/>
        <v>2.52</v>
      </c>
      <c r="CR140">
        <f>(((((ET140*4))*BB140-((EU140*4))*BS140)+AE140*BS140)*AV140)</f>
        <v>781.8</v>
      </c>
      <c r="CS140">
        <f t="shared" si="180"/>
        <v>495.72</v>
      </c>
      <c r="CT140">
        <f t="shared" si="181"/>
        <v>1178.04</v>
      </c>
      <c r="CU140">
        <f t="shared" si="167"/>
        <v>0</v>
      </c>
      <c r="CV140">
        <f t="shared" si="182"/>
        <v>1.68</v>
      </c>
      <c r="CW140">
        <f t="shared" si="168"/>
        <v>0</v>
      </c>
      <c r="CX140">
        <f t="shared" si="169"/>
        <v>0</v>
      </c>
      <c r="CY140">
        <f t="shared" si="183"/>
        <v>1649.2560000000001</v>
      </c>
      <c r="CZ140">
        <f t="shared" si="184"/>
        <v>235.608</v>
      </c>
      <c r="DC140" t="s">
        <v>3</v>
      </c>
      <c r="DD140" t="s">
        <v>25</v>
      </c>
      <c r="DE140" t="s">
        <v>25</v>
      </c>
      <c r="DF140" t="s">
        <v>25</v>
      </c>
      <c r="DG140" t="s">
        <v>25</v>
      </c>
      <c r="DH140" t="s">
        <v>3</v>
      </c>
      <c r="DI140" t="s">
        <v>25</v>
      </c>
      <c r="DJ140" t="s">
        <v>25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31</v>
      </c>
      <c r="DW140" t="s">
        <v>31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19</v>
      </c>
      <c r="EH140">
        <v>0</v>
      </c>
      <c r="EI140" t="s">
        <v>3</v>
      </c>
      <c r="EJ140">
        <v>4</v>
      </c>
      <c r="EK140">
        <v>0</v>
      </c>
      <c r="EL140" t="s">
        <v>20</v>
      </c>
      <c r="EM140" t="s">
        <v>21</v>
      </c>
      <c r="EO140" t="s">
        <v>3</v>
      </c>
      <c r="EQ140">
        <v>0</v>
      </c>
      <c r="ER140">
        <v>490.59</v>
      </c>
      <c r="ES140">
        <v>0.63</v>
      </c>
      <c r="ET140">
        <v>195.45</v>
      </c>
      <c r="EU140">
        <v>123.93</v>
      </c>
      <c r="EV140">
        <v>294.51</v>
      </c>
      <c r="EW140">
        <v>0.42</v>
      </c>
      <c r="EX140">
        <v>0</v>
      </c>
      <c r="EY140">
        <v>0</v>
      </c>
      <c r="FQ140">
        <v>0</v>
      </c>
      <c r="FR140">
        <f t="shared" si="170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-364815351</v>
      </c>
      <c r="GG140">
        <v>2</v>
      </c>
      <c r="GH140">
        <v>1</v>
      </c>
      <c r="GI140">
        <v>-2</v>
      </c>
      <c r="GJ140">
        <v>0</v>
      </c>
      <c r="GK140">
        <f>ROUND(R140*(R12)/100,2)</f>
        <v>1070.76</v>
      </c>
      <c r="GL140">
        <f t="shared" si="171"/>
        <v>0</v>
      </c>
      <c r="GM140">
        <f t="shared" si="172"/>
        <v>6880.35</v>
      </c>
      <c r="GN140">
        <f t="shared" si="173"/>
        <v>0</v>
      </c>
      <c r="GO140">
        <f t="shared" si="174"/>
        <v>0</v>
      </c>
      <c r="GP140">
        <f t="shared" si="175"/>
        <v>6880.35</v>
      </c>
      <c r="GR140">
        <v>0</v>
      </c>
      <c r="GS140">
        <v>3</v>
      </c>
      <c r="GT140">
        <v>0</v>
      </c>
      <c r="GU140" t="s">
        <v>3</v>
      </c>
      <c r="GV140">
        <f t="shared" si="176"/>
        <v>0</v>
      </c>
      <c r="GW140">
        <v>1</v>
      </c>
      <c r="GX140">
        <f t="shared" si="177"/>
        <v>0</v>
      </c>
      <c r="HA140">
        <v>0</v>
      </c>
      <c r="HB140">
        <v>0</v>
      </c>
      <c r="HC140">
        <f t="shared" si="178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D141">
        <f>ROW(EtalonRes!A74)</f>
        <v>74</v>
      </c>
      <c r="E141" t="s">
        <v>204</v>
      </c>
      <c r="F141" t="s">
        <v>205</v>
      </c>
      <c r="G141" t="s">
        <v>206</v>
      </c>
      <c r="H141" t="s">
        <v>31</v>
      </c>
      <c r="I141">
        <v>1</v>
      </c>
      <c r="J141">
        <v>0</v>
      </c>
      <c r="K141">
        <v>1</v>
      </c>
      <c r="O141">
        <f t="shared" si="150"/>
        <v>577.62</v>
      </c>
      <c r="P141">
        <f t="shared" si="151"/>
        <v>38.28</v>
      </c>
      <c r="Q141">
        <f t="shared" si="152"/>
        <v>0</v>
      </c>
      <c r="R141">
        <f t="shared" si="153"/>
        <v>0</v>
      </c>
      <c r="S141">
        <f t="shared" si="154"/>
        <v>539.34</v>
      </c>
      <c r="T141">
        <f t="shared" si="155"/>
        <v>0</v>
      </c>
      <c r="U141">
        <f t="shared" si="156"/>
        <v>0.76</v>
      </c>
      <c r="V141">
        <f t="shared" si="157"/>
        <v>0</v>
      </c>
      <c r="W141">
        <f t="shared" si="158"/>
        <v>0</v>
      </c>
      <c r="X141">
        <f t="shared" si="159"/>
        <v>377.54</v>
      </c>
      <c r="Y141">
        <f t="shared" si="160"/>
        <v>53.93</v>
      </c>
      <c r="AA141">
        <v>1471988752</v>
      </c>
      <c r="AB141">
        <f t="shared" si="161"/>
        <v>577.62</v>
      </c>
      <c r="AC141">
        <f>ROUND(((ES141*2)),6)</f>
        <v>38.28</v>
      </c>
      <c r="AD141">
        <f>ROUND(((((ET141*2))-((EU141*2)))+AE141),6)</f>
        <v>0</v>
      </c>
      <c r="AE141">
        <f>ROUND(((EU141*2)),6)</f>
        <v>0</v>
      </c>
      <c r="AF141">
        <f>ROUND(((EV141*2)),6)</f>
        <v>539.34</v>
      </c>
      <c r="AG141">
        <f t="shared" si="163"/>
        <v>0</v>
      </c>
      <c r="AH141">
        <f>((EW141*2))</f>
        <v>0.76</v>
      </c>
      <c r="AI141">
        <f>((EX141*2))</f>
        <v>0</v>
      </c>
      <c r="AJ141">
        <f t="shared" si="165"/>
        <v>0</v>
      </c>
      <c r="AK141">
        <v>288.81</v>
      </c>
      <c r="AL141">
        <v>19.14</v>
      </c>
      <c r="AM141">
        <v>0</v>
      </c>
      <c r="AN141">
        <v>0</v>
      </c>
      <c r="AO141">
        <v>269.67</v>
      </c>
      <c r="AP141">
        <v>0</v>
      </c>
      <c r="AQ141">
        <v>0.38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207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66"/>
        <v>577.62</v>
      </c>
      <c r="CQ141">
        <f t="shared" si="179"/>
        <v>38.28</v>
      </c>
      <c r="CR141">
        <f>(((((ET141*2))*BB141-((EU141*2))*BS141)+AE141*BS141)*AV141)</f>
        <v>0</v>
      </c>
      <c r="CS141">
        <f t="shared" si="180"/>
        <v>0</v>
      </c>
      <c r="CT141">
        <f t="shared" si="181"/>
        <v>539.34</v>
      </c>
      <c r="CU141">
        <f t="shared" si="167"/>
        <v>0</v>
      </c>
      <c r="CV141">
        <f t="shared" si="182"/>
        <v>0.76</v>
      </c>
      <c r="CW141">
        <f t="shared" si="168"/>
        <v>0</v>
      </c>
      <c r="CX141">
        <f t="shared" si="169"/>
        <v>0</v>
      </c>
      <c r="CY141">
        <f t="shared" si="183"/>
        <v>377.53800000000001</v>
      </c>
      <c r="CZ141">
        <f t="shared" si="184"/>
        <v>53.934000000000005</v>
      </c>
      <c r="DC141" t="s">
        <v>3</v>
      </c>
      <c r="DD141" t="s">
        <v>117</v>
      </c>
      <c r="DE141" t="s">
        <v>117</v>
      </c>
      <c r="DF141" t="s">
        <v>117</v>
      </c>
      <c r="DG141" t="s">
        <v>117</v>
      </c>
      <c r="DH141" t="s">
        <v>3</v>
      </c>
      <c r="DI141" t="s">
        <v>117</v>
      </c>
      <c r="DJ141" t="s">
        <v>117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16987630</v>
      </c>
      <c r="DV141" t="s">
        <v>31</v>
      </c>
      <c r="DW141" t="s">
        <v>31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1441815344</v>
      </c>
      <c r="EF141">
        <v>1</v>
      </c>
      <c r="EG141" t="s">
        <v>19</v>
      </c>
      <c r="EH141">
        <v>0</v>
      </c>
      <c r="EI141" t="s">
        <v>3</v>
      </c>
      <c r="EJ141">
        <v>4</v>
      </c>
      <c r="EK141">
        <v>0</v>
      </c>
      <c r="EL141" t="s">
        <v>20</v>
      </c>
      <c r="EM141" t="s">
        <v>21</v>
      </c>
      <c r="EO141" t="s">
        <v>3</v>
      </c>
      <c r="EQ141">
        <v>0</v>
      </c>
      <c r="ER141">
        <v>288.81</v>
      </c>
      <c r="ES141">
        <v>19.14</v>
      </c>
      <c r="ET141">
        <v>0</v>
      </c>
      <c r="EU141">
        <v>0</v>
      </c>
      <c r="EV141">
        <v>269.67</v>
      </c>
      <c r="EW141">
        <v>0.38</v>
      </c>
      <c r="EX141">
        <v>0</v>
      </c>
      <c r="EY141">
        <v>0</v>
      </c>
      <c r="FQ141">
        <v>0</v>
      </c>
      <c r="FR141">
        <f t="shared" si="170"/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1498136171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71"/>
        <v>0</v>
      </c>
      <c r="GM141">
        <f t="shared" si="172"/>
        <v>1009.09</v>
      </c>
      <c r="GN141">
        <f t="shared" si="173"/>
        <v>0</v>
      </c>
      <c r="GO141">
        <f t="shared" si="174"/>
        <v>0</v>
      </c>
      <c r="GP141">
        <f t="shared" si="175"/>
        <v>1009.09</v>
      </c>
      <c r="GR141">
        <v>0</v>
      </c>
      <c r="GS141">
        <v>3</v>
      </c>
      <c r="GT141">
        <v>0</v>
      </c>
      <c r="GU141" t="s">
        <v>3</v>
      </c>
      <c r="GV141">
        <f t="shared" si="176"/>
        <v>0</v>
      </c>
      <c r="GW141">
        <v>1</v>
      </c>
      <c r="GX141">
        <f t="shared" si="177"/>
        <v>0</v>
      </c>
      <c r="HA141">
        <v>0</v>
      </c>
      <c r="HB141">
        <v>0</v>
      </c>
      <c r="HC141">
        <f t="shared" si="178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D142">
        <f>ROW(EtalonRes!A75)</f>
        <v>75</v>
      </c>
      <c r="E142" t="s">
        <v>208</v>
      </c>
      <c r="F142" t="s">
        <v>164</v>
      </c>
      <c r="G142" t="s">
        <v>165</v>
      </c>
      <c r="H142" t="s">
        <v>40</v>
      </c>
      <c r="I142">
        <f>ROUND(2/10,9)</f>
        <v>0.2</v>
      </c>
      <c r="J142">
        <v>0</v>
      </c>
      <c r="K142">
        <f>ROUND(2/10,9)</f>
        <v>0.2</v>
      </c>
      <c r="O142">
        <f t="shared" si="150"/>
        <v>55.57</v>
      </c>
      <c r="P142">
        <f t="shared" si="151"/>
        <v>0</v>
      </c>
      <c r="Q142">
        <f t="shared" si="152"/>
        <v>0</v>
      </c>
      <c r="R142">
        <f t="shared" si="153"/>
        <v>0</v>
      </c>
      <c r="S142">
        <f t="shared" si="154"/>
        <v>55.57</v>
      </c>
      <c r="T142">
        <f t="shared" si="155"/>
        <v>0</v>
      </c>
      <c r="U142">
        <f t="shared" si="156"/>
        <v>9.0000000000000011E-2</v>
      </c>
      <c r="V142">
        <f t="shared" si="157"/>
        <v>0</v>
      </c>
      <c r="W142">
        <f t="shared" si="158"/>
        <v>0</v>
      </c>
      <c r="X142">
        <f t="shared" si="159"/>
        <v>38.9</v>
      </c>
      <c r="Y142">
        <f t="shared" si="160"/>
        <v>5.56</v>
      </c>
      <c r="AA142">
        <v>1471988752</v>
      </c>
      <c r="AB142">
        <f t="shared" si="161"/>
        <v>277.87</v>
      </c>
      <c r="AC142">
        <f>ROUND((ES142),6)</f>
        <v>0</v>
      </c>
      <c r="AD142">
        <f>ROUND((((ET142)-(EU142))+AE142),6)</f>
        <v>0</v>
      </c>
      <c r="AE142">
        <f>ROUND((EU142),6)</f>
        <v>0</v>
      </c>
      <c r="AF142">
        <f>ROUND((EV142),6)</f>
        <v>277.87</v>
      </c>
      <c r="AG142">
        <f t="shared" si="163"/>
        <v>0</v>
      </c>
      <c r="AH142">
        <f>(EW142)</f>
        <v>0.45</v>
      </c>
      <c r="AI142">
        <f>(EX142)</f>
        <v>0</v>
      </c>
      <c r="AJ142">
        <f t="shared" si="165"/>
        <v>0</v>
      </c>
      <c r="AK142">
        <v>277.87</v>
      </c>
      <c r="AL142">
        <v>0</v>
      </c>
      <c r="AM142">
        <v>0</v>
      </c>
      <c r="AN142">
        <v>0</v>
      </c>
      <c r="AO142">
        <v>277.87</v>
      </c>
      <c r="AP142">
        <v>0</v>
      </c>
      <c r="AQ142">
        <v>0.45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166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66"/>
        <v>55.57</v>
      </c>
      <c r="CQ142">
        <f t="shared" si="179"/>
        <v>0</v>
      </c>
      <c r="CR142">
        <f>((((ET142)*BB142-(EU142)*BS142)+AE142*BS142)*AV142)</f>
        <v>0</v>
      </c>
      <c r="CS142">
        <f t="shared" si="180"/>
        <v>0</v>
      </c>
      <c r="CT142">
        <f t="shared" si="181"/>
        <v>277.87</v>
      </c>
      <c r="CU142">
        <f t="shared" si="167"/>
        <v>0</v>
      </c>
      <c r="CV142">
        <f t="shared" si="182"/>
        <v>0.45</v>
      </c>
      <c r="CW142">
        <f t="shared" si="168"/>
        <v>0</v>
      </c>
      <c r="CX142">
        <f t="shared" si="169"/>
        <v>0</v>
      </c>
      <c r="CY142">
        <f t="shared" si="183"/>
        <v>38.899000000000001</v>
      </c>
      <c r="CZ142">
        <f t="shared" si="184"/>
        <v>5.5570000000000004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16987630</v>
      </c>
      <c r="DV142" t="s">
        <v>40</v>
      </c>
      <c r="DW142" t="s">
        <v>40</v>
      </c>
      <c r="DX142">
        <v>10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19</v>
      </c>
      <c r="EH142">
        <v>0</v>
      </c>
      <c r="EI142" t="s">
        <v>3</v>
      </c>
      <c r="EJ142">
        <v>4</v>
      </c>
      <c r="EK142">
        <v>0</v>
      </c>
      <c r="EL142" t="s">
        <v>20</v>
      </c>
      <c r="EM142" t="s">
        <v>21</v>
      </c>
      <c r="EO142" t="s">
        <v>3</v>
      </c>
      <c r="EQ142">
        <v>0</v>
      </c>
      <c r="ER142">
        <v>277.87</v>
      </c>
      <c r="ES142">
        <v>0</v>
      </c>
      <c r="ET142">
        <v>0</v>
      </c>
      <c r="EU142">
        <v>0</v>
      </c>
      <c r="EV142">
        <v>277.87</v>
      </c>
      <c r="EW142">
        <v>0.45</v>
      </c>
      <c r="EX142">
        <v>0</v>
      </c>
      <c r="EY142">
        <v>0</v>
      </c>
      <c r="FQ142">
        <v>0</v>
      </c>
      <c r="FR142">
        <f t="shared" si="170"/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-559430364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71"/>
        <v>0</v>
      </c>
      <c r="GM142">
        <f t="shared" si="172"/>
        <v>100.03</v>
      </c>
      <c r="GN142">
        <f t="shared" si="173"/>
        <v>0</v>
      </c>
      <c r="GO142">
        <f t="shared" si="174"/>
        <v>0</v>
      </c>
      <c r="GP142">
        <f t="shared" si="175"/>
        <v>100.03</v>
      </c>
      <c r="GR142">
        <v>0</v>
      </c>
      <c r="GS142">
        <v>3</v>
      </c>
      <c r="GT142">
        <v>0</v>
      </c>
      <c r="GU142" t="s">
        <v>3</v>
      </c>
      <c r="GV142">
        <f t="shared" si="176"/>
        <v>0</v>
      </c>
      <c r="GW142">
        <v>1</v>
      </c>
      <c r="GX142">
        <f t="shared" si="177"/>
        <v>0</v>
      </c>
      <c r="HA142">
        <v>0</v>
      </c>
      <c r="HB142">
        <v>0</v>
      </c>
      <c r="HC142">
        <f t="shared" si="178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D143">
        <f>ROW(EtalonRes!A78)</f>
        <v>78</v>
      </c>
      <c r="E143" t="s">
        <v>209</v>
      </c>
      <c r="F143" t="s">
        <v>144</v>
      </c>
      <c r="G143" t="s">
        <v>145</v>
      </c>
      <c r="H143" t="s">
        <v>31</v>
      </c>
      <c r="I143">
        <f>ROUND(2+1,9)</f>
        <v>3</v>
      </c>
      <c r="J143">
        <v>0</v>
      </c>
      <c r="K143">
        <f>ROUND(2+1,9)</f>
        <v>3</v>
      </c>
      <c r="O143">
        <f t="shared" si="150"/>
        <v>1434.78</v>
      </c>
      <c r="P143">
        <f t="shared" si="151"/>
        <v>114.84</v>
      </c>
      <c r="Q143">
        <f t="shared" si="152"/>
        <v>0</v>
      </c>
      <c r="R143">
        <f t="shared" si="153"/>
        <v>0</v>
      </c>
      <c r="S143">
        <f t="shared" si="154"/>
        <v>1319.94</v>
      </c>
      <c r="T143">
        <f t="shared" si="155"/>
        <v>0</v>
      </c>
      <c r="U143">
        <f t="shared" si="156"/>
        <v>1.8599999999999999</v>
      </c>
      <c r="V143">
        <f t="shared" si="157"/>
        <v>0</v>
      </c>
      <c r="W143">
        <f t="shared" si="158"/>
        <v>0</v>
      </c>
      <c r="X143">
        <f t="shared" si="159"/>
        <v>923.96</v>
      </c>
      <c r="Y143">
        <f t="shared" si="160"/>
        <v>131.99</v>
      </c>
      <c r="AA143">
        <v>1471988752</v>
      </c>
      <c r="AB143">
        <f t="shared" si="161"/>
        <v>478.26</v>
      </c>
      <c r="AC143">
        <f>ROUND(((ES143*2)),6)</f>
        <v>38.28</v>
      </c>
      <c r="AD143">
        <f>ROUND(((((ET143*2))-((EU143*2)))+AE143),6)</f>
        <v>0</v>
      </c>
      <c r="AE143">
        <f>ROUND(((EU143*2)),6)</f>
        <v>0</v>
      </c>
      <c r="AF143">
        <f>ROUND(((EV143*2)),6)</f>
        <v>439.98</v>
      </c>
      <c r="AG143">
        <f t="shared" si="163"/>
        <v>0</v>
      </c>
      <c r="AH143">
        <f>((EW143*2))</f>
        <v>0.62</v>
      </c>
      <c r="AI143">
        <f>((EX143*2))</f>
        <v>0</v>
      </c>
      <c r="AJ143">
        <f t="shared" si="165"/>
        <v>0</v>
      </c>
      <c r="AK143">
        <v>239.13</v>
      </c>
      <c r="AL143">
        <v>19.14</v>
      </c>
      <c r="AM143">
        <v>0</v>
      </c>
      <c r="AN143">
        <v>0</v>
      </c>
      <c r="AO143">
        <v>219.99</v>
      </c>
      <c r="AP143">
        <v>0</v>
      </c>
      <c r="AQ143">
        <v>0.31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146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66"/>
        <v>1434.78</v>
      </c>
      <c r="CQ143">
        <f t="shared" si="179"/>
        <v>38.28</v>
      </c>
      <c r="CR143">
        <f>(((((ET143*2))*BB143-((EU143*2))*BS143)+AE143*BS143)*AV143)</f>
        <v>0</v>
      </c>
      <c r="CS143">
        <f t="shared" si="180"/>
        <v>0</v>
      </c>
      <c r="CT143">
        <f t="shared" si="181"/>
        <v>439.98</v>
      </c>
      <c r="CU143">
        <f t="shared" si="167"/>
        <v>0</v>
      </c>
      <c r="CV143">
        <f t="shared" si="182"/>
        <v>0.62</v>
      </c>
      <c r="CW143">
        <f t="shared" si="168"/>
        <v>0</v>
      </c>
      <c r="CX143">
        <f t="shared" si="169"/>
        <v>0</v>
      </c>
      <c r="CY143">
        <f t="shared" si="183"/>
        <v>923.95800000000008</v>
      </c>
      <c r="CZ143">
        <f t="shared" si="184"/>
        <v>131.99400000000003</v>
      </c>
      <c r="DC143" t="s">
        <v>3</v>
      </c>
      <c r="DD143" t="s">
        <v>117</v>
      </c>
      <c r="DE143" t="s">
        <v>117</v>
      </c>
      <c r="DF143" t="s">
        <v>117</v>
      </c>
      <c r="DG143" t="s">
        <v>117</v>
      </c>
      <c r="DH143" t="s">
        <v>3</v>
      </c>
      <c r="DI143" t="s">
        <v>117</v>
      </c>
      <c r="DJ143" t="s">
        <v>117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16987630</v>
      </c>
      <c r="DV143" t="s">
        <v>31</v>
      </c>
      <c r="DW143" t="s">
        <v>31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19</v>
      </c>
      <c r="EH143">
        <v>0</v>
      </c>
      <c r="EI143" t="s">
        <v>3</v>
      </c>
      <c r="EJ143">
        <v>4</v>
      </c>
      <c r="EK143">
        <v>0</v>
      </c>
      <c r="EL143" t="s">
        <v>20</v>
      </c>
      <c r="EM143" t="s">
        <v>21</v>
      </c>
      <c r="EO143" t="s">
        <v>3</v>
      </c>
      <c r="EQ143">
        <v>0</v>
      </c>
      <c r="ER143">
        <v>239.13</v>
      </c>
      <c r="ES143">
        <v>19.14</v>
      </c>
      <c r="ET143">
        <v>0</v>
      </c>
      <c r="EU143">
        <v>0</v>
      </c>
      <c r="EV143">
        <v>219.99</v>
      </c>
      <c r="EW143">
        <v>0.31</v>
      </c>
      <c r="EX143">
        <v>0</v>
      </c>
      <c r="EY143">
        <v>0</v>
      </c>
      <c r="FQ143">
        <v>0</v>
      </c>
      <c r="FR143">
        <f t="shared" si="170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-1042054303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</v>
      </c>
      <c r="GL143">
        <f t="shared" si="171"/>
        <v>0</v>
      </c>
      <c r="GM143">
        <f t="shared" si="172"/>
        <v>2490.73</v>
      </c>
      <c r="GN143">
        <f t="shared" si="173"/>
        <v>0</v>
      </c>
      <c r="GO143">
        <f t="shared" si="174"/>
        <v>0</v>
      </c>
      <c r="GP143">
        <f t="shared" si="175"/>
        <v>2490.73</v>
      </c>
      <c r="GR143">
        <v>0</v>
      </c>
      <c r="GS143">
        <v>3</v>
      </c>
      <c r="GT143">
        <v>0</v>
      </c>
      <c r="GU143" t="s">
        <v>3</v>
      </c>
      <c r="GV143">
        <f t="shared" si="176"/>
        <v>0</v>
      </c>
      <c r="GW143">
        <v>1</v>
      </c>
      <c r="GX143">
        <f t="shared" si="177"/>
        <v>0</v>
      </c>
      <c r="HA143">
        <v>0</v>
      </c>
      <c r="HB143">
        <v>0</v>
      </c>
      <c r="HC143">
        <f t="shared" si="178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D144">
        <f>ROW(EtalonRes!A79)</f>
        <v>79</v>
      </c>
      <c r="E144" t="s">
        <v>210</v>
      </c>
      <c r="F144" t="s">
        <v>140</v>
      </c>
      <c r="G144" t="s">
        <v>141</v>
      </c>
      <c r="H144" t="s">
        <v>40</v>
      </c>
      <c r="I144">
        <f>ROUND(2/10,9)</f>
        <v>0.2</v>
      </c>
      <c r="J144">
        <v>0</v>
      </c>
      <c r="K144">
        <f>ROUND(2/10,9)</f>
        <v>0.2</v>
      </c>
      <c r="O144">
        <f t="shared" si="150"/>
        <v>113.62</v>
      </c>
      <c r="P144">
        <f t="shared" si="151"/>
        <v>0</v>
      </c>
      <c r="Q144">
        <f t="shared" si="152"/>
        <v>0</v>
      </c>
      <c r="R144">
        <f t="shared" si="153"/>
        <v>0</v>
      </c>
      <c r="S144">
        <f t="shared" si="154"/>
        <v>113.62</v>
      </c>
      <c r="T144">
        <f t="shared" si="155"/>
        <v>0</v>
      </c>
      <c r="U144">
        <f t="shared" si="156"/>
        <v>0.18400000000000002</v>
      </c>
      <c r="V144">
        <f t="shared" si="157"/>
        <v>0</v>
      </c>
      <c r="W144">
        <f t="shared" si="158"/>
        <v>0</v>
      </c>
      <c r="X144">
        <f t="shared" si="159"/>
        <v>79.53</v>
      </c>
      <c r="Y144">
        <f t="shared" si="160"/>
        <v>11.36</v>
      </c>
      <c r="AA144">
        <v>1471988752</v>
      </c>
      <c r="AB144">
        <f t="shared" si="161"/>
        <v>568.09</v>
      </c>
      <c r="AC144">
        <f>ROUND((ES144),6)</f>
        <v>0</v>
      </c>
      <c r="AD144">
        <f>ROUND((((ET144)-(EU144))+AE144),6)</f>
        <v>0</v>
      </c>
      <c r="AE144">
        <f t="shared" ref="AE144:AF146" si="185">ROUND((EU144),6)</f>
        <v>0</v>
      </c>
      <c r="AF144">
        <f t="shared" si="185"/>
        <v>568.09</v>
      </c>
      <c r="AG144">
        <f t="shared" si="163"/>
        <v>0</v>
      </c>
      <c r="AH144">
        <f t="shared" ref="AH144:AI146" si="186">(EW144)</f>
        <v>0.92</v>
      </c>
      <c r="AI144">
        <f t="shared" si="186"/>
        <v>0</v>
      </c>
      <c r="AJ144">
        <f t="shared" si="165"/>
        <v>0</v>
      </c>
      <c r="AK144">
        <v>568.09</v>
      </c>
      <c r="AL144">
        <v>0</v>
      </c>
      <c r="AM144">
        <v>0</v>
      </c>
      <c r="AN144">
        <v>0</v>
      </c>
      <c r="AO144">
        <v>568.09</v>
      </c>
      <c r="AP144">
        <v>0</v>
      </c>
      <c r="AQ144">
        <v>0.92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142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66"/>
        <v>113.62</v>
      </c>
      <c r="CQ144">
        <f t="shared" si="179"/>
        <v>0</v>
      </c>
      <c r="CR144">
        <f>((((ET144)*BB144-(EU144)*BS144)+AE144*BS144)*AV144)</f>
        <v>0</v>
      </c>
      <c r="CS144">
        <f t="shared" si="180"/>
        <v>0</v>
      </c>
      <c r="CT144">
        <f t="shared" si="181"/>
        <v>568.09</v>
      </c>
      <c r="CU144">
        <f t="shared" si="167"/>
        <v>0</v>
      </c>
      <c r="CV144">
        <f t="shared" si="182"/>
        <v>0.92</v>
      </c>
      <c r="CW144">
        <f t="shared" si="168"/>
        <v>0</v>
      </c>
      <c r="CX144">
        <f t="shared" si="169"/>
        <v>0</v>
      </c>
      <c r="CY144">
        <f t="shared" si="183"/>
        <v>79.534000000000006</v>
      </c>
      <c r="CZ144">
        <f t="shared" si="184"/>
        <v>11.362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16987630</v>
      </c>
      <c r="DV144" t="s">
        <v>40</v>
      </c>
      <c r="DW144" t="s">
        <v>40</v>
      </c>
      <c r="DX144">
        <v>10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19</v>
      </c>
      <c r="EH144">
        <v>0</v>
      </c>
      <c r="EI144" t="s">
        <v>3</v>
      </c>
      <c r="EJ144">
        <v>4</v>
      </c>
      <c r="EK144">
        <v>0</v>
      </c>
      <c r="EL144" t="s">
        <v>20</v>
      </c>
      <c r="EM144" t="s">
        <v>21</v>
      </c>
      <c r="EO144" t="s">
        <v>3</v>
      </c>
      <c r="EQ144">
        <v>0</v>
      </c>
      <c r="ER144">
        <v>568.09</v>
      </c>
      <c r="ES144">
        <v>0</v>
      </c>
      <c r="ET144">
        <v>0</v>
      </c>
      <c r="EU144">
        <v>0</v>
      </c>
      <c r="EV144">
        <v>568.09</v>
      </c>
      <c r="EW144">
        <v>0.92</v>
      </c>
      <c r="EX144">
        <v>0</v>
      </c>
      <c r="EY144">
        <v>0</v>
      </c>
      <c r="FQ144">
        <v>0</v>
      </c>
      <c r="FR144">
        <f t="shared" si="170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2082338734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71"/>
        <v>0</v>
      </c>
      <c r="GM144">
        <f t="shared" si="172"/>
        <v>204.51</v>
      </c>
      <c r="GN144">
        <f t="shared" si="173"/>
        <v>0</v>
      </c>
      <c r="GO144">
        <f t="shared" si="174"/>
        <v>0</v>
      </c>
      <c r="GP144">
        <f t="shared" si="175"/>
        <v>204.51</v>
      </c>
      <c r="GR144">
        <v>0</v>
      </c>
      <c r="GS144">
        <v>3</v>
      </c>
      <c r="GT144">
        <v>0</v>
      </c>
      <c r="GU144" t="s">
        <v>3</v>
      </c>
      <c r="GV144">
        <f t="shared" si="176"/>
        <v>0</v>
      </c>
      <c r="GW144">
        <v>1</v>
      </c>
      <c r="GX144">
        <f t="shared" si="177"/>
        <v>0</v>
      </c>
      <c r="HA144">
        <v>0</v>
      </c>
      <c r="HB144">
        <v>0</v>
      </c>
      <c r="HC144">
        <f t="shared" si="178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D145">
        <f>ROW(EtalonRes!A82)</f>
        <v>82</v>
      </c>
      <c r="E145" t="s">
        <v>211</v>
      </c>
      <c r="F145" t="s">
        <v>212</v>
      </c>
      <c r="G145" t="s">
        <v>213</v>
      </c>
      <c r="H145" t="s">
        <v>40</v>
      </c>
      <c r="I145">
        <f>ROUND(1/10,9)</f>
        <v>0.1</v>
      </c>
      <c r="J145">
        <v>0</v>
      </c>
      <c r="K145">
        <f>ROUND(1/10,9)</f>
        <v>0.1</v>
      </c>
      <c r="O145">
        <f t="shared" si="150"/>
        <v>202.42</v>
      </c>
      <c r="P145">
        <f t="shared" si="151"/>
        <v>0.04</v>
      </c>
      <c r="Q145">
        <f t="shared" si="152"/>
        <v>0</v>
      </c>
      <c r="R145">
        <f t="shared" si="153"/>
        <v>0</v>
      </c>
      <c r="S145">
        <f t="shared" si="154"/>
        <v>202.38</v>
      </c>
      <c r="T145">
        <f t="shared" si="155"/>
        <v>0</v>
      </c>
      <c r="U145">
        <f t="shared" si="156"/>
        <v>0.36000000000000004</v>
      </c>
      <c r="V145">
        <f t="shared" si="157"/>
        <v>0</v>
      </c>
      <c r="W145">
        <f t="shared" si="158"/>
        <v>0</v>
      </c>
      <c r="X145">
        <f t="shared" si="159"/>
        <v>141.66999999999999</v>
      </c>
      <c r="Y145">
        <f t="shared" si="160"/>
        <v>20.239999999999998</v>
      </c>
      <c r="AA145">
        <v>1471988752</v>
      </c>
      <c r="AB145">
        <f t="shared" si="161"/>
        <v>2024.19</v>
      </c>
      <c r="AC145">
        <f>ROUND((ES145),6)</f>
        <v>0.38</v>
      </c>
      <c r="AD145">
        <f>ROUND((((ET145)-(EU145))+AE145),6)</f>
        <v>0</v>
      </c>
      <c r="AE145">
        <f t="shared" si="185"/>
        <v>0</v>
      </c>
      <c r="AF145">
        <f t="shared" si="185"/>
        <v>2023.81</v>
      </c>
      <c r="AG145">
        <f t="shared" si="163"/>
        <v>0</v>
      </c>
      <c r="AH145">
        <f t="shared" si="186"/>
        <v>3.6</v>
      </c>
      <c r="AI145">
        <f t="shared" si="186"/>
        <v>0</v>
      </c>
      <c r="AJ145">
        <f t="shared" si="165"/>
        <v>0</v>
      </c>
      <c r="AK145">
        <v>2024.19</v>
      </c>
      <c r="AL145">
        <v>0.38</v>
      </c>
      <c r="AM145">
        <v>0</v>
      </c>
      <c r="AN145">
        <v>0</v>
      </c>
      <c r="AO145">
        <v>2023.81</v>
      </c>
      <c r="AP145">
        <v>0</v>
      </c>
      <c r="AQ145">
        <v>3.6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214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66"/>
        <v>202.42</v>
      </c>
      <c r="CQ145">
        <f t="shared" si="179"/>
        <v>0.38</v>
      </c>
      <c r="CR145">
        <f>((((ET145)*BB145-(EU145)*BS145)+AE145*BS145)*AV145)</f>
        <v>0</v>
      </c>
      <c r="CS145">
        <f t="shared" si="180"/>
        <v>0</v>
      </c>
      <c r="CT145">
        <f t="shared" si="181"/>
        <v>2023.81</v>
      </c>
      <c r="CU145">
        <f t="shared" si="167"/>
        <v>0</v>
      </c>
      <c r="CV145">
        <f t="shared" si="182"/>
        <v>3.6</v>
      </c>
      <c r="CW145">
        <f t="shared" si="168"/>
        <v>0</v>
      </c>
      <c r="CX145">
        <f t="shared" si="169"/>
        <v>0</v>
      </c>
      <c r="CY145">
        <f t="shared" si="183"/>
        <v>141.666</v>
      </c>
      <c r="CZ145">
        <f t="shared" si="184"/>
        <v>20.238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16987630</v>
      </c>
      <c r="DV145" t="s">
        <v>40</v>
      </c>
      <c r="DW145" t="s">
        <v>40</v>
      </c>
      <c r="DX145">
        <v>10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19</v>
      </c>
      <c r="EH145">
        <v>0</v>
      </c>
      <c r="EI145" t="s">
        <v>3</v>
      </c>
      <c r="EJ145">
        <v>4</v>
      </c>
      <c r="EK145">
        <v>0</v>
      </c>
      <c r="EL145" t="s">
        <v>20</v>
      </c>
      <c r="EM145" t="s">
        <v>21</v>
      </c>
      <c r="EO145" t="s">
        <v>3</v>
      </c>
      <c r="EQ145">
        <v>0</v>
      </c>
      <c r="ER145">
        <v>2024.19</v>
      </c>
      <c r="ES145">
        <v>0.38</v>
      </c>
      <c r="ET145">
        <v>0</v>
      </c>
      <c r="EU145">
        <v>0</v>
      </c>
      <c r="EV145">
        <v>2023.81</v>
      </c>
      <c r="EW145">
        <v>3.6</v>
      </c>
      <c r="EX145">
        <v>0</v>
      </c>
      <c r="EY145">
        <v>0</v>
      </c>
      <c r="FQ145">
        <v>0</v>
      </c>
      <c r="FR145">
        <f t="shared" si="170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253948561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71"/>
        <v>0</v>
      </c>
      <c r="GM145">
        <f t="shared" si="172"/>
        <v>364.33</v>
      </c>
      <c r="GN145">
        <f t="shared" si="173"/>
        <v>0</v>
      </c>
      <c r="GO145">
        <f t="shared" si="174"/>
        <v>0</v>
      </c>
      <c r="GP145">
        <f t="shared" si="175"/>
        <v>364.33</v>
      </c>
      <c r="GR145">
        <v>0</v>
      </c>
      <c r="GS145">
        <v>3</v>
      </c>
      <c r="GT145">
        <v>0</v>
      </c>
      <c r="GU145" t="s">
        <v>3</v>
      </c>
      <c r="GV145">
        <f t="shared" si="176"/>
        <v>0</v>
      </c>
      <c r="GW145">
        <v>1</v>
      </c>
      <c r="GX145">
        <f t="shared" si="177"/>
        <v>0</v>
      </c>
      <c r="HA145">
        <v>0</v>
      </c>
      <c r="HB145">
        <v>0</v>
      </c>
      <c r="HC145">
        <f t="shared" si="178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18</v>
      </c>
      <c r="B146">
        <v>1</v>
      </c>
      <c r="E146" t="s">
        <v>215</v>
      </c>
      <c r="F146" t="s">
        <v>216</v>
      </c>
      <c r="G146" t="s">
        <v>217</v>
      </c>
      <c r="H146" t="s">
        <v>31</v>
      </c>
      <c r="I146">
        <f>I145*J146</f>
        <v>4</v>
      </c>
      <c r="J146">
        <v>40</v>
      </c>
      <c r="K146">
        <v>20</v>
      </c>
      <c r="O146">
        <f t="shared" si="150"/>
        <v>829.88</v>
      </c>
      <c r="P146">
        <f t="shared" si="151"/>
        <v>829.88</v>
      </c>
      <c r="Q146">
        <f t="shared" si="152"/>
        <v>0</v>
      </c>
      <c r="R146">
        <f t="shared" si="153"/>
        <v>0</v>
      </c>
      <c r="S146">
        <f t="shared" si="154"/>
        <v>0</v>
      </c>
      <c r="T146">
        <f t="shared" si="155"/>
        <v>0</v>
      </c>
      <c r="U146">
        <f t="shared" si="156"/>
        <v>0</v>
      </c>
      <c r="V146">
        <f t="shared" si="157"/>
        <v>0</v>
      </c>
      <c r="W146">
        <f t="shared" si="158"/>
        <v>0</v>
      </c>
      <c r="X146">
        <f t="shared" si="159"/>
        <v>0</v>
      </c>
      <c r="Y146">
        <f t="shared" si="160"/>
        <v>0</v>
      </c>
      <c r="AA146">
        <v>1471988752</v>
      </c>
      <c r="AB146">
        <f t="shared" si="161"/>
        <v>207.47</v>
      </c>
      <c r="AC146">
        <f>ROUND((ES146),6)</f>
        <v>207.47</v>
      </c>
      <c r="AD146">
        <f>ROUND((((ET146)-(EU146))+AE146),6)</f>
        <v>0</v>
      </c>
      <c r="AE146">
        <f t="shared" si="185"/>
        <v>0</v>
      </c>
      <c r="AF146">
        <f t="shared" si="185"/>
        <v>0</v>
      </c>
      <c r="AG146">
        <f t="shared" si="163"/>
        <v>0</v>
      </c>
      <c r="AH146">
        <f t="shared" si="186"/>
        <v>0</v>
      </c>
      <c r="AI146">
        <f t="shared" si="186"/>
        <v>0</v>
      </c>
      <c r="AJ146">
        <f t="shared" si="165"/>
        <v>0</v>
      </c>
      <c r="AK146">
        <v>207.47</v>
      </c>
      <c r="AL146">
        <v>207.47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4</v>
      </c>
      <c r="BJ146" t="s">
        <v>218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66"/>
        <v>829.88</v>
      </c>
      <c r="CQ146">
        <f t="shared" si="179"/>
        <v>207.47</v>
      </c>
      <c r="CR146">
        <f>((((ET146)*BB146-(EU146)*BS146)+AE146*BS146)*AV146)</f>
        <v>0</v>
      </c>
      <c r="CS146">
        <f t="shared" si="180"/>
        <v>0</v>
      </c>
      <c r="CT146">
        <f t="shared" si="181"/>
        <v>0</v>
      </c>
      <c r="CU146">
        <f t="shared" si="167"/>
        <v>0</v>
      </c>
      <c r="CV146">
        <f t="shared" si="182"/>
        <v>0</v>
      </c>
      <c r="CW146">
        <f t="shared" si="168"/>
        <v>0</v>
      </c>
      <c r="CX146">
        <f t="shared" si="169"/>
        <v>0</v>
      </c>
      <c r="CY146">
        <f t="shared" si="183"/>
        <v>0</v>
      </c>
      <c r="CZ146">
        <f t="shared" si="184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16987630</v>
      </c>
      <c r="DV146" t="s">
        <v>31</v>
      </c>
      <c r="DW146" t="s">
        <v>31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19</v>
      </c>
      <c r="EH146">
        <v>0</v>
      </c>
      <c r="EI146" t="s">
        <v>3</v>
      </c>
      <c r="EJ146">
        <v>4</v>
      </c>
      <c r="EK146">
        <v>0</v>
      </c>
      <c r="EL146" t="s">
        <v>20</v>
      </c>
      <c r="EM146" t="s">
        <v>21</v>
      </c>
      <c r="EO146" t="s">
        <v>3</v>
      </c>
      <c r="EQ146">
        <v>0</v>
      </c>
      <c r="ER146">
        <v>207.47</v>
      </c>
      <c r="ES146">
        <v>207.47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f t="shared" si="170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-1876481285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71"/>
        <v>0</v>
      </c>
      <c r="GM146">
        <f t="shared" si="172"/>
        <v>829.88</v>
      </c>
      <c r="GN146">
        <f t="shared" si="173"/>
        <v>0</v>
      </c>
      <c r="GO146">
        <f t="shared" si="174"/>
        <v>0</v>
      </c>
      <c r="GP146">
        <f t="shared" si="175"/>
        <v>829.88</v>
      </c>
      <c r="GR146">
        <v>0</v>
      </c>
      <c r="GS146">
        <v>3</v>
      </c>
      <c r="GT146">
        <v>0</v>
      </c>
      <c r="GU146" t="s">
        <v>3</v>
      </c>
      <c r="GV146">
        <f t="shared" si="176"/>
        <v>0</v>
      </c>
      <c r="GW146">
        <v>1</v>
      </c>
      <c r="GX146">
        <f t="shared" si="177"/>
        <v>0</v>
      </c>
      <c r="HA146">
        <v>0</v>
      </c>
      <c r="HB146">
        <v>0</v>
      </c>
      <c r="HC146">
        <f t="shared" si="178"/>
        <v>0</v>
      </c>
      <c r="HE146" t="s">
        <v>3</v>
      </c>
      <c r="HF146" t="s">
        <v>3</v>
      </c>
      <c r="HM146" t="s">
        <v>117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19</v>
      </c>
      <c r="B147">
        <v>1</v>
      </c>
      <c r="F147" t="s">
        <v>3</v>
      </c>
      <c r="G147" t="s">
        <v>219</v>
      </c>
      <c r="H147" t="s">
        <v>3</v>
      </c>
      <c r="AA147">
        <v>1</v>
      </c>
      <c r="IK147">
        <v>0</v>
      </c>
    </row>
    <row r="148" spans="1:245" x14ac:dyDescent="0.2">
      <c r="A148">
        <v>17</v>
      </c>
      <c r="B148">
        <v>1</v>
      </c>
      <c r="D148">
        <f>ROW(EtalonRes!A83)</f>
        <v>83</v>
      </c>
      <c r="E148" t="s">
        <v>3</v>
      </c>
      <c r="F148" t="s">
        <v>147</v>
      </c>
      <c r="G148" t="s">
        <v>148</v>
      </c>
      <c r="H148" t="s">
        <v>31</v>
      </c>
      <c r="I148">
        <v>10</v>
      </c>
      <c r="J148">
        <v>0</v>
      </c>
      <c r="K148">
        <v>10</v>
      </c>
      <c r="O148">
        <f t="shared" ref="O148:O167" si="187">ROUND(CP148,2)</f>
        <v>7224.6</v>
      </c>
      <c r="P148">
        <f t="shared" ref="P148:P167" si="188">ROUND(CQ148*I148,2)</f>
        <v>0</v>
      </c>
      <c r="Q148">
        <f t="shared" ref="Q148:Q167" si="189">ROUND(CR148*I148,2)</f>
        <v>0</v>
      </c>
      <c r="R148">
        <f t="shared" ref="R148:R167" si="190">ROUND(CS148*I148,2)</f>
        <v>0</v>
      </c>
      <c r="S148">
        <f t="shared" ref="S148:S167" si="191">ROUND(CT148*I148,2)</f>
        <v>7224.6</v>
      </c>
      <c r="T148">
        <f t="shared" ref="T148:T167" si="192">ROUND(CU148*I148,2)</f>
        <v>0</v>
      </c>
      <c r="U148">
        <f t="shared" ref="U148:U167" si="193">CV148*I148</f>
        <v>11.7</v>
      </c>
      <c r="V148">
        <f t="shared" ref="V148:V167" si="194">CW148*I148</f>
        <v>0</v>
      </c>
      <c r="W148">
        <f t="shared" ref="W148:W167" si="195">ROUND(CX148*I148,2)</f>
        <v>0</v>
      </c>
      <c r="X148">
        <f t="shared" ref="X148:X167" si="196">ROUND(CY148,2)</f>
        <v>5057.22</v>
      </c>
      <c r="Y148">
        <f t="shared" ref="Y148:Y167" si="197">ROUND(CZ148,2)</f>
        <v>722.46</v>
      </c>
      <c r="AA148">
        <v>-1</v>
      </c>
      <c r="AB148">
        <f t="shared" ref="AB148:AB167" si="198">ROUND((AC148+AD148+AF148),6)</f>
        <v>722.46</v>
      </c>
      <c r="AC148">
        <f>ROUND((ES148),6)</f>
        <v>0</v>
      </c>
      <c r="AD148">
        <f>ROUND((((ET148)-(EU148))+AE148),6)</f>
        <v>0</v>
      </c>
      <c r="AE148">
        <f t="shared" ref="AE148:AF150" si="199">ROUND((EU148),6)</f>
        <v>0</v>
      </c>
      <c r="AF148">
        <f t="shared" si="199"/>
        <v>722.46</v>
      </c>
      <c r="AG148">
        <f t="shared" ref="AG148:AG167" si="200">ROUND((AP148),6)</f>
        <v>0</v>
      </c>
      <c r="AH148">
        <f t="shared" ref="AH148:AI150" si="201">(EW148)</f>
        <v>1.17</v>
      </c>
      <c r="AI148">
        <f t="shared" si="201"/>
        <v>0</v>
      </c>
      <c r="AJ148">
        <f t="shared" ref="AJ148:AJ167" si="202">(AS148)</f>
        <v>0</v>
      </c>
      <c r="AK148">
        <v>722.46</v>
      </c>
      <c r="AL148">
        <v>0</v>
      </c>
      <c r="AM148">
        <v>0</v>
      </c>
      <c r="AN148">
        <v>0</v>
      </c>
      <c r="AO148">
        <v>722.46</v>
      </c>
      <c r="AP148">
        <v>0</v>
      </c>
      <c r="AQ148">
        <v>1.17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149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67" si="203">(P148+Q148+S148)</f>
        <v>7224.6</v>
      </c>
      <c r="CQ148">
        <f>(AC148*BC148*AW148)</f>
        <v>0</v>
      </c>
      <c r="CR148">
        <f>((((ET148)*BB148-(EU148)*BS148)+AE148*BS148)*AV148)</f>
        <v>0</v>
      </c>
      <c r="CS148">
        <f>(AE148*BS148*AV148)</f>
        <v>0</v>
      </c>
      <c r="CT148">
        <f>(AF148*BA148*AV148)</f>
        <v>722.46</v>
      </c>
      <c r="CU148">
        <f t="shared" ref="CU148:CU167" si="204">AG148</f>
        <v>0</v>
      </c>
      <c r="CV148">
        <f>(AH148*AV148)</f>
        <v>1.17</v>
      </c>
      <c r="CW148">
        <f t="shared" ref="CW148:CW167" si="205">AI148</f>
        <v>0</v>
      </c>
      <c r="CX148">
        <f t="shared" ref="CX148:CX167" si="206">AJ148</f>
        <v>0</v>
      </c>
      <c r="CY148">
        <f>((S148*BZ148)/100)</f>
        <v>5057.22</v>
      </c>
      <c r="CZ148">
        <f>((S148*CA148)/100)</f>
        <v>722.46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16987630</v>
      </c>
      <c r="DV148" t="s">
        <v>31</v>
      </c>
      <c r="DW148" t="s">
        <v>31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1441815344</v>
      </c>
      <c r="EF148">
        <v>1</v>
      </c>
      <c r="EG148" t="s">
        <v>19</v>
      </c>
      <c r="EH148">
        <v>0</v>
      </c>
      <c r="EI148" t="s">
        <v>3</v>
      </c>
      <c r="EJ148">
        <v>4</v>
      </c>
      <c r="EK148">
        <v>0</v>
      </c>
      <c r="EL148" t="s">
        <v>20</v>
      </c>
      <c r="EM148" t="s">
        <v>21</v>
      </c>
      <c r="EO148" t="s">
        <v>3</v>
      </c>
      <c r="EQ148">
        <v>1024</v>
      </c>
      <c r="ER148">
        <v>722.46</v>
      </c>
      <c r="ES148">
        <v>0</v>
      </c>
      <c r="ET148">
        <v>0</v>
      </c>
      <c r="EU148">
        <v>0</v>
      </c>
      <c r="EV148">
        <v>722.46</v>
      </c>
      <c r="EW148">
        <v>1.17</v>
      </c>
      <c r="EX148">
        <v>0</v>
      </c>
      <c r="EY148">
        <v>0</v>
      </c>
      <c r="FQ148">
        <v>0</v>
      </c>
      <c r="FR148">
        <f t="shared" ref="FR148:FR167" si="207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1164262949</v>
      </c>
      <c r="GG148">
        <v>2</v>
      </c>
      <c r="GH148">
        <v>1</v>
      </c>
      <c r="GI148">
        <v>-2</v>
      </c>
      <c r="GJ148">
        <v>0</v>
      </c>
      <c r="GK148">
        <f>ROUND(R148*(R12)/100,2)</f>
        <v>0</v>
      </c>
      <c r="GL148">
        <f t="shared" ref="GL148:GL167" si="208">ROUND(IF(AND(BH148=3,BI148=3,FS148&lt;&gt;0),P148,0),2)</f>
        <v>0</v>
      </c>
      <c r="GM148">
        <f t="shared" ref="GM148:GM167" si="209">ROUND(O148+X148+Y148+GK148,2)+GX148</f>
        <v>13004.28</v>
      </c>
      <c r="GN148">
        <f t="shared" ref="GN148:GN167" si="210">IF(OR(BI148=0,BI148=1),GM148-GX148,0)</f>
        <v>0</v>
      </c>
      <c r="GO148">
        <f t="shared" ref="GO148:GO167" si="211">IF(BI148=2,GM148-GX148,0)</f>
        <v>0</v>
      </c>
      <c r="GP148">
        <f t="shared" ref="GP148:GP167" si="212">IF(BI148=4,GM148-GX148,0)</f>
        <v>13004.28</v>
      </c>
      <c r="GR148">
        <v>0</v>
      </c>
      <c r="GS148">
        <v>3</v>
      </c>
      <c r="GT148">
        <v>0</v>
      </c>
      <c r="GU148" t="s">
        <v>3</v>
      </c>
      <c r="GV148">
        <f t="shared" ref="GV148:GV167" si="213">ROUND((GT148),6)</f>
        <v>0</v>
      </c>
      <c r="GW148">
        <v>1</v>
      </c>
      <c r="GX148">
        <f t="shared" ref="GX148:GX167" si="214">ROUND(HC148*I148,2)</f>
        <v>0</v>
      </c>
      <c r="HA148">
        <v>0</v>
      </c>
      <c r="HB148">
        <v>0</v>
      </c>
      <c r="HC148">
        <f t="shared" ref="HC148:HC167" si="215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1</v>
      </c>
      <c r="E149" t="s">
        <v>3</v>
      </c>
      <c r="F149" t="s">
        <v>150</v>
      </c>
      <c r="G149" t="s">
        <v>151</v>
      </c>
      <c r="H149" t="s">
        <v>152</v>
      </c>
      <c r="I149">
        <v>10</v>
      </c>
      <c r="J149">
        <v>0</v>
      </c>
      <c r="K149">
        <v>10</v>
      </c>
      <c r="O149">
        <f t="shared" si="187"/>
        <v>1800</v>
      </c>
      <c r="P149">
        <f t="shared" si="188"/>
        <v>1800</v>
      </c>
      <c r="Q149">
        <f t="shared" si="189"/>
        <v>0</v>
      </c>
      <c r="R149">
        <f t="shared" si="190"/>
        <v>0</v>
      </c>
      <c r="S149">
        <f t="shared" si="191"/>
        <v>0</v>
      </c>
      <c r="T149">
        <f t="shared" si="192"/>
        <v>0</v>
      </c>
      <c r="U149">
        <f t="shared" si="193"/>
        <v>0</v>
      </c>
      <c r="V149">
        <f t="shared" si="194"/>
        <v>0</v>
      </c>
      <c r="W149">
        <f t="shared" si="195"/>
        <v>0</v>
      </c>
      <c r="X149">
        <f t="shared" si="196"/>
        <v>0</v>
      </c>
      <c r="Y149">
        <f t="shared" si="197"/>
        <v>0</v>
      </c>
      <c r="AA149">
        <v>-1</v>
      </c>
      <c r="AB149">
        <f t="shared" si="198"/>
        <v>180</v>
      </c>
      <c r="AC149">
        <f>ROUND((ES149),6)</f>
        <v>180</v>
      </c>
      <c r="AD149">
        <f>ROUND((ET149),6)</f>
        <v>0</v>
      </c>
      <c r="AE149">
        <f t="shared" si="199"/>
        <v>0</v>
      </c>
      <c r="AF149">
        <f t="shared" si="199"/>
        <v>0</v>
      </c>
      <c r="AG149">
        <f t="shared" si="200"/>
        <v>0</v>
      </c>
      <c r="AH149">
        <f t="shared" si="201"/>
        <v>0</v>
      </c>
      <c r="AI149">
        <f t="shared" si="201"/>
        <v>0</v>
      </c>
      <c r="AJ149">
        <f t="shared" si="202"/>
        <v>0</v>
      </c>
      <c r="AK149">
        <v>180</v>
      </c>
      <c r="AL149">
        <v>180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0</v>
      </c>
      <c r="BJ149" t="s">
        <v>3</v>
      </c>
      <c r="BM149">
        <v>356</v>
      </c>
      <c r="BN149">
        <v>0</v>
      </c>
      <c r="BO149" t="s">
        <v>3</v>
      </c>
      <c r="BP149">
        <v>0</v>
      </c>
      <c r="BQ149">
        <v>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203"/>
        <v>1800</v>
      </c>
      <c r="CQ149">
        <f>AC149*BC149</f>
        <v>180</v>
      </c>
      <c r="CR149">
        <f>AD149*BB149</f>
        <v>0</v>
      </c>
      <c r="CS149">
        <f>AE149*BS149</f>
        <v>0</v>
      </c>
      <c r="CT149">
        <f>AF149*BA149</f>
        <v>0</v>
      </c>
      <c r="CU149">
        <f t="shared" si="204"/>
        <v>0</v>
      </c>
      <c r="CV149">
        <f>AH149</f>
        <v>0</v>
      </c>
      <c r="CW149">
        <f t="shared" si="205"/>
        <v>0</v>
      </c>
      <c r="CX149">
        <f t="shared" si="206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152</v>
      </c>
      <c r="DW149" t="s">
        <v>152</v>
      </c>
      <c r="DX149">
        <v>7.0999999999999994E-2</v>
      </c>
      <c r="DZ149" t="s">
        <v>3</v>
      </c>
      <c r="EA149" t="s">
        <v>3</v>
      </c>
      <c r="EB149" t="s">
        <v>3</v>
      </c>
      <c r="EC149" t="s">
        <v>3</v>
      </c>
      <c r="EE149">
        <v>0</v>
      </c>
      <c r="EF149">
        <v>0</v>
      </c>
      <c r="EG149" t="s">
        <v>3</v>
      </c>
      <c r="EH149">
        <v>0</v>
      </c>
      <c r="EI149" t="s">
        <v>3</v>
      </c>
      <c r="EJ149">
        <v>0</v>
      </c>
      <c r="EK149">
        <v>356</v>
      </c>
      <c r="EL149" t="s">
        <v>3</v>
      </c>
      <c r="EM149" t="s">
        <v>3</v>
      </c>
      <c r="EO149" t="s">
        <v>3</v>
      </c>
      <c r="EQ149">
        <v>1024</v>
      </c>
      <c r="ER149">
        <v>180</v>
      </c>
      <c r="ES149">
        <v>180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FQ149">
        <v>1800</v>
      </c>
      <c r="FR149">
        <f t="shared" si="207"/>
        <v>0</v>
      </c>
      <c r="FS149">
        <v>1</v>
      </c>
      <c r="FX149">
        <v>0</v>
      </c>
      <c r="FY149">
        <v>0</v>
      </c>
      <c r="GA149" t="s">
        <v>3</v>
      </c>
      <c r="GD149">
        <v>0</v>
      </c>
      <c r="GF149">
        <v>-54322067</v>
      </c>
      <c r="GG149">
        <v>2</v>
      </c>
      <c r="GH149">
        <v>0</v>
      </c>
      <c r="GI149">
        <v>-2</v>
      </c>
      <c r="GJ149">
        <v>0</v>
      </c>
      <c r="GK149">
        <f>ROUND(R149*(R12)/100,2)</f>
        <v>0</v>
      </c>
      <c r="GL149">
        <f t="shared" si="208"/>
        <v>0</v>
      </c>
      <c r="GM149">
        <f t="shared" si="209"/>
        <v>1800</v>
      </c>
      <c r="GN149">
        <f t="shared" si="210"/>
        <v>1800</v>
      </c>
      <c r="GO149">
        <f t="shared" si="211"/>
        <v>0</v>
      </c>
      <c r="GP149">
        <f t="shared" si="212"/>
        <v>0</v>
      </c>
      <c r="GR149">
        <v>0</v>
      </c>
      <c r="GS149">
        <v>0</v>
      </c>
      <c r="GT149">
        <v>0</v>
      </c>
      <c r="GU149" t="s">
        <v>3</v>
      </c>
      <c r="GV149">
        <f t="shared" si="213"/>
        <v>0</v>
      </c>
      <c r="GW149">
        <v>1</v>
      </c>
      <c r="GX149">
        <f t="shared" si="214"/>
        <v>0</v>
      </c>
      <c r="HA149">
        <v>0</v>
      </c>
      <c r="HB149">
        <v>0</v>
      </c>
      <c r="HC149">
        <f t="shared" si="215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ROW(EtalonRes!A85)</f>
        <v>85</v>
      </c>
      <c r="E150" t="s">
        <v>3</v>
      </c>
      <c r="F150" t="s">
        <v>153</v>
      </c>
      <c r="G150" t="s">
        <v>154</v>
      </c>
      <c r="H150" t="s">
        <v>40</v>
      </c>
      <c r="I150">
        <f>ROUND(10/10,9)</f>
        <v>1</v>
      </c>
      <c r="J150">
        <v>0</v>
      </c>
      <c r="K150">
        <f>ROUND(10/10,9)</f>
        <v>1</v>
      </c>
      <c r="O150">
        <f t="shared" si="187"/>
        <v>556.04999999999995</v>
      </c>
      <c r="P150">
        <f t="shared" si="188"/>
        <v>0.31</v>
      </c>
      <c r="Q150">
        <f t="shared" si="189"/>
        <v>0</v>
      </c>
      <c r="R150">
        <f t="shared" si="190"/>
        <v>0</v>
      </c>
      <c r="S150">
        <f t="shared" si="191"/>
        <v>555.74</v>
      </c>
      <c r="T150">
        <f t="shared" si="192"/>
        <v>0</v>
      </c>
      <c r="U150">
        <f t="shared" si="193"/>
        <v>0.9</v>
      </c>
      <c r="V150">
        <f t="shared" si="194"/>
        <v>0</v>
      </c>
      <c r="W150">
        <f t="shared" si="195"/>
        <v>0</v>
      </c>
      <c r="X150">
        <f t="shared" si="196"/>
        <v>389.02</v>
      </c>
      <c r="Y150">
        <f t="shared" si="197"/>
        <v>55.57</v>
      </c>
      <c r="AA150">
        <v>-1</v>
      </c>
      <c r="AB150">
        <f t="shared" si="198"/>
        <v>556.04999999999995</v>
      </c>
      <c r="AC150">
        <f>ROUND((ES150),6)</f>
        <v>0.31</v>
      </c>
      <c r="AD150">
        <f>ROUND((((ET150)-(EU150))+AE150),6)</f>
        <v>0</v>
      </c>
      <c r="AE150">
        <f t="shared" si="199"/>
        <v>0</v>
      </c>
      <c r="AF150">
        <f t="shared" si="199"/>
        <v>555.74</v>
      </c>
      <c r="AG150">
        <f t="shared" si="200"/>
        <v>0</v>
      </c>
      <c r="AH150">
        <f t="shared" si="201"/>
        <v>0.9</v>
      </c>
      <c r="AI150">
        <f t="shared" si="201"/>
        <v>0</v>
      </c>
      <c r="AJ150">
        <f t="shared" si="202"/>
        <v>0</v>
      </c>
      <c r="AK150">
        <v>556.04999999999995</v>
      </c>
      <c r="AL150">
        <v>0.31</v>
      </c>
      <c r="AM150">
        <v>0</v>
      </c>
      <c r="AN150">
        <v>0</v>
      </c>
      <c r="AO150">
        <v>555.74</v>
      </c>
      <c r="AP150">
        <v>0</v>
      </c>
      <c r="AQ150">
        <v>0.9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155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203"/>
        <v>556.04999999999995</v>
      </c>
      <c r="CQ150">
        <f t="shared" ref="CQ150:CQ167" si="216">(AC150*BC150*AW150)</f>
        <v>0.31</v>
      </c>
      <c r="CR150">
        <f>((((ET150)*BB150-(EU150)*BS150)+AE150*BS150)*AV150)</f>
        <v>0</v>
      </c>
      <c r="CS150">
        <f t="shared" ref="CS150:CS167" si="217">(AE150*BS150*AV150)</f>
        <v>0</v>
      </c>
      <c r="CT150">
        <f t="shared" ref="CT150:CT167" si="218">(AF150*BA150*AV150)</f>
        <v>555.74</v>
      </c>
      <c r="CU150">
        <f t="shared" si="204"/>
        <v>0</v>
      </c>
      <c r="CV150">
        <f t="shared" ref="CV150:CV167" si="219">(AH150*AV150)</f>
        <v>0.9</v>
      </c>
      <c r="CW150">
        <f t="shared" si="205"/>
        <v>0</v>
      </c>
      <c r="CX150">
        <f t="shared" si="206"/>
        <v>0</v>
      </c>
      <c r="CY150">
        <f t="shared" ref="CY150:CY167" si="220">((S150*BZ150)/100)</f>
        <v>389.01800000000003</v>
      </c>
      <c r="CZ150">
        <f t="shared" ref="CZ150:CZ167" si="221">((S150*CA150)/100)</f>
        <v>55.573999999999998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16987630</v>
      </c>
      <c r="DV150" t="s">
        <v>40</v>
      </c>
      <c r="DW150" t="s">
        <v>40</v>
      </c>
      <c r="DX150">
        <v>10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19</v>
      </c>
      <c r="EH150">
        <v>0</v>
      </c>
      <c r="EI150" t="s">
        <v>3</v>
      </c>
      <c r="EJ150">
        <v>4</v>
      </c>
      <c r="EK150">
        <v>0</v>
      </c>
      <c r="EL150" t="s">
        <v>20</v>
      </c>
      <c r="EM150" t="s">
        <v>21</v>
      </c>
      <c r="EO150" t="s">
        <v>3</v>
      </c>
      <c r="EQ150">
        <v>1024</v>
      </c>
      <c r="ER150">
        <v>556.04999999999995</v>
      </c>
      <c r="ES150">
        <v>0.31</v>
      </c>
      <c r="ET150">
        <v>0</v>
      </c>
      <c r="EU150">
        <v>0</v>
      </c>
      <c r="EV150">
        <v>555.74</v>
      </c>
      <c r="EW150">
        <v>0.9</v>
      </c>
      <c r="EX150">
        <v>0</v>
      </c>
      <c r="EY150">
        <v>0</v>
      </c>
      <c r="FQ150">
        <v>0</v>
      </c>
      <c r="FR150">
        <f t="shared" si="207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505455875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208"/>
        <v>0</v>
      </c>
      <c r="GM150">
        <f t="shared" si="209"/>
        <v>1000.64</v>
      </c>
      <c r="GN150">
        <f t="shared" si="210"/>
        <v>0</v>
      </c>
      <c r="GO150">
        <f t="shared" si="211"/>
        <v>0</v>
      </c>
      <c r="GP150">
        <f t="shared" si="212"/>
        <v>1000.64</v>
      </c>
      <c r="GR150">
        <v>0</v>
      </c>
      <c r="GS150">
        <v>3</v>
      </c>
      <c r="GT150">
        <v>0</v>
      </c>
      <c r="GU150" t="s">
        <v>3</v>
      </c>
      <c r="GV150">
        <f t="shared" si="213"/>
        <v>0</v>
      </c>
      <c r="GW150">
        <v>1</v>
      </c>
      <c r="GX150">
        <f t="shared" si="214"/>
        <v>0</v>
      </c>
      <c r="HA150">
        <v>0</v>
      </c>
      <c r="HB150">
        <v>0</v>
      </c>
      <c r="HC150">
        <f t="shared" si="215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ROW(EtalonRes!A87)</f>
        <v>87</v>
      </c>
      <c r="E151" t="s">
        <v>220</v>
      </c>
      <c r="F151" t="s">
        <v>189</v>
      </c>
      <c r="G151" t="s">
        <v>221</v>
      </c>
      <c r="H151" t="s">
        <v>31</v>
      </c>
      <c r="I151">
        <v>1</v>
      </c>
      <c r="J151">
        <v>0</v>
      </c>
      <c r="K151">
        <v>1</v>
      </c>
      <c r="O151">
        <f t="shared" si="187"/>
        <v>572.36</v>
      </c>
      <c r="P151">
        <f t="shared" si="188"/>
        <v>0</v>
      </c>
      <c r="Q151">
        <f t="shared" si="189"/>
        <v>156.36000000000001</v>
      </c>
      <c r="R151">
        <f t="shared" si="190"/>
        <v>99.14</v>
      </c>
      <c r="S151">
        <f t="shared" si="191"/>
        <v>416</v>
      </c>
      <c r="T151">
        <f t="shared" si="192"/>
        <v>0</v>
      </c>
      <c r="U151">
        <f t="shared" si="193"/>
        <v>0.74</v>
      </c>
      <c r="V151">
        <f t="shared" si="194"/>
        <v>0</v>
      </c>
      <c r="W151">
        <f t="shared" si="195"/>
        <v>0</v>
      </c>
      <c r="X151">
        <f t="shared" si="196"/>
        <v>291.2</v>
      </c>
      <c r="Y151">
        <f t="shared" si="197"/>
        <v>41.6</v>
      </c>
      <c r="AA151">
        <v>1471988752</v>
      </c>
      <c r="AB151">
        <f t="shared" si="198"/>
        <v>572.36</v>
      </c>
      <c r="AC151">
        <f>ROUND(((ES151*2)),6)</f>
        <v>0</v>
      </c>
      <c r="AD151">
        <f>ROUND(((((ET151*2))-((EU151*2)))+AE151),6)</f>
        <v>156.36000000000001</v>
      </c>
      <c r="AE151">
        <f>ROUND(((EU151*2)),6)</f>
        <v>99.14</v>
      </c>
      <c r="AF151">
        <f>ROUND(((EV151*2)),6)</f>
        <v>416</v>
      </c>
      <c r="AG151">
        <f t="shared" si="200"/>
        <v>0</v>
      </c>
      <c r="AH151">
        <f>((EW151*2))</f>
        <v>0.74</v>
      </c>
      <c r="AI151">
        <f>((EX151*2))</f>
        <v>0</v>
      </c>
      <c r="AJ151">
        <f t="shared" si="202"/>
        <v>0</v>
      </c>
      <c r="AK151">
        <v>286.18</v>
      </c>
      <c r="AL151">
        <v>0</v>
      </c>
      <c r="AM151">
        <v>78.180000000000007</v>
      </c>
      <c r="AN151">
        <v>49.57</v>
      </c>
      <c r="AO151">
        <v>208</v>
      </c>
      <c r="AP151">
        <v>0</v>
      </c>
      <c r="AQ151">
        <v>0.37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191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203"/>
        <v>572.36</v>
      </c>
      <c r="CQ151">
        <f t="shared" si="216"/>
        <v>0</v>
      </c>
      <c r="CR151">
        <f>(((((ET151*2))*BB151-((EU151*2))*BS151)+AE151*BS151)*AV151)</f>
        <v>156.36000000000001</v>
      </c>
      <c r="CS151">
        <f t="shared" si="217"/>
        <v>99.14</v>
      </c>
      <c r="CT151">
        <f t="shared" si="218"/>
        <v>416</v>
      </c>
      <c r="CU151">
        <f t="shared" si="204"/>
        <v>0</v>
      </c>
      <c r="CV151">
        <f t="shared" si="219"/>
        <v>0.74</v>
      </c>
      <c r="CW151">
        <f t="shared" si="205"/>
        <v>0</v>
      </c>
      <c r="CX151">
        <f t="shared" si="206"/>
        <v>0</v>
      </c>
      <c r="CY151">
        <f t="shared" si="220"/>
        <v>291.2</v>
      </c>
      <c r="CZ151">
        <f t="shared" si="221"/>
        <v>41.6</v>
      </c>
      <c r="DC151" t="s">
        <v>3</v>
      </c>
      <c r="DD151" t="s">
        <v>117</v>
      </c>
      <c r="DE151" t="s">
        <v>117</v>
      </c>
      <c r="DF151" t="s">
        <v>117</v>
      </c>
      <c r="DG151" t="s">
        <v>117</v>
      </c>
      <c r="DH151" t="s">
        <v>3</v>
      </c>
      <c r="DI151" t="s">
        <v>117</v>
      </c>
      <c r="DJ151" t="s">
        <v>117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16987630</v>
      </c>
      <c r="DV151" t="s">
        <v>31</v>
      </c>
      <c r="DW151" t="s">
        <v>31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19</v>
      </c>
      <c r="EH151">
        <v>0</v>
      </c>
      <c r="EI151" t="s">
        <v>3</v>
      </c>
      <c r="EJ151">
        <v>4</v>
      </c>
      <c r="EK151">
        <v>0</v>
      </c>
      <c r="EL151" t="s">
        <v>20</v>
      </c>
      <c r="EM151" t="s">
        <v>21</v>
      </c>
      <c r="EO151" t="s">
        <v>3</v>
      </c>
      <c r="EQ151">
        <v>0</v>
      </c>
      <c r="ER151">
        <v>286.18</v>
      </c>
      <c r="ES151">
        <v>0</v>
      </c>
      <c r="ET151">
        <v>78.180000000000007</v>
      </c>
      <c r="EU151">
        <v>49.57</v>
      </c>
      <c r="EV151">
        <v>208</v>
      </c>
      <c r="EW151">
        <v>0.37</v>
      </c>
      <c r="EX151">
        <v>0</v>
      </c>
      <c r="EY151">
        <v>0</v>
      </c>
      <c r="FQ151">
        <v>0</v>
      </c>
      <c r="FR151">
        <f t="shared" si="207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333427456</v>
      </c>
      <c r="GG151">
        <v>2</v>
      </c>
      <c r="GH151">
        <v>1</v>
      </c>
      <c r="GI151">
        <v>-2</v>
      </c>
      <c r="GJ151">
        <v>0</v>
      </c>
      <c r="GK151">
        <f>ROUND(R151*(R12)/100,2)</f>
        <v>107.07</v>
      </c>
      <c r="GL151">
        <f t="shared" si="208"/>
        <v>0</v>
      </c>
      <c r="GM151">
        <f t="shared" si="209"/>
        <v>1012.23</v>
      </c>
      <c r="GN151">
        <f t="shared" si="210"/>
        <v>0</v>
      </c>
      <c r="GO151">
        <f t="shared" si="211"/>
        <v>0</v>
      </c>
      <c r="GP151">
        <f t="shared" si="212"/>
        <v>1012.23</v>
      </c>
      <c r="GR151">
        <v>0</v>
      </c>
      <c r="GS151">
        <v>3</v>
      </c>
      <c r="GT151">
        <v>0</v>
      </c>
      <c r="GU151" t="s">
        <v>3</v>
      </c>
      <c r="GV151">
        <f t="shared" si="213"/>
        <v>0</v>
      </c>
      <c r="GW151">
        <v>1</v>
      </c>
      <c r="GX151">
        <f t="shared" si="214"/>
        <v>0</v>
      </c>
      <c r="HA151">
        <v>0</v>
      </c>
      <c r="HB151">
        <v>0</v>
      </c>
      <c r="HC151">
        <f t="shared" si="215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17</v>
      </c>
      <c r="B152">
        <v>1</v>
      </c>
      <c r="D152">
        <f>ROW(EtalonRes!A88)</f>
        <v>88</v>
      </c>
      <c r="E152" t="s">
        <v>222</v>
      </c>
      <c r="F152" t="s">
        <v>193</v>
      </c>
      <c r="G152" t="s">
        <v>194</v>
      </c>
      <c r="H152" t="s">
        <v>31</v>
      </c>
      <c r="I152">
        <v>1</v>
      </c>
      <c r="J152">
        <v>0</v>
      </c>
      <c r="K152">
        <v>1</v>
      </c>
      <c r="O152">
        <f t="shared" si="187"/>
        <v>2687.48</v>
      </c>
      <c r="P152">
        <f t="shared" si="188"/>
        <v>0</v>
      </c>
      <c r="Q152">
        <f t="shared" si="189"/>
        <v>0</v>
      </c>
      <c r="R152">
        <f t="shared" si="190"/>
        <v>0</v>
      </c>
      <c r="S152">
        <f t="shared" si="191"/>
        <v>2687.48</v>
      </c>
      <c r="T152">
        <f t="shared" si="192"/>
        <v>0</v>
      </c>
      <c r="U152">
        <f t="shared" si="193"/>
        <v>3.24</v>
      </c>
      <c r="V152">
        <f t="shared" si="194"/>
        <v>0</v>
      </c>
      <c r="W152">
        <f t="shared" si="195"/>
        <v>0</v>
      </c>
      <c r="X152">
        <f t="shared" si="196"/>
        <v>1881.24</v>
      </c>
      <c r="Y152">
        <f t="shared" si="197"/>
        <v>268.75</v>
      </c>
      <c r="AA152">
        <v>1471988752</v>
      </c>
      <c r="AB152">
        <f t="shared" si="198"/>
        <v>2687.48</v>
      </c>
      <c r="AC152">
        <f>ROUND(((ES152*2)),6)</f>
        <v>0</v>
      </c>
      <c r="AD152">
        <f>ROUND(((((ET152*2))-((EU152*2)))+AE152),6)</f>
        <v>0</v>
      </c>
      <c r="AE152">
        <f>ROUND(((EU152*2)),6)</f>
        <v>0</v>
      </c>
      <c r="AF152">
        <f>ROUND(((EV152*2)),6)</f>
        <v>2687.48</v>
      </c>
      <c r="AG152">
        <f t="shared" si="200"/>
        <v>0</v>
      </c>
      <c r="AH152">
        <f>((EW152*2))</f>
        <v>3.24</v>
      </c>
      <c r="AI152">
        <f>((EX152*2))</f>
        <v>0</v>
      </c>
      <c r="AJ152">
        <f t="shared" si="202"/>
        <v>0</v>
      </c>
      <c r="AK152">
        <v>1343.74</v>
      </c>
      <c r="AL152">
        <v>0</v>
      </c>
      <c r="AM152">
        <v>0</v>
      </c>
      <c r="AN152">
        <v>0</v>
      </c>
      <c r="AO152">
        <v>1343.74</v>
      </c>
      <c r="AP152">
        <v>0</v>
      </c>
      <c r="AQ152">
        <v>1.62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195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203"/>
        <v>2687.48</v>
      </c>
      <c r="CQ152">
        <f t="shared" si="216"/>
        <v>0</v>
      </c>
      <c r="CR152">
        <f>(((((ET152*2))*BB152-((EU152*2))*BS152)+AE152*BS152)*AV152)</f>
        <v>0</v>
      </c>
      <c r="CS152">
        <f t="shared" si="217"/>
        <v>0</v>
      </c>
      <c r="CT152">
        <f t="shared" si="218"/>
        <v>2687.48</v>
      </c>
      <c r="CU152">
        <f t="shared" si="204"/>
        <v>0</v>
      </c>
      <c r="CV152">
        <f t="shared" si="219"/>
        <v>3.24</v>
      </c>
      <c r="CW152">
        <f t="shared" si="205"/>
        <v>0</v>
      </c>
      <c r="CX152">
        <f t="shared" si="206"/>
        <v>0</v>
      </c>
      <c r="CY152">
        <f t="shared" si="220"/>
        <v>1881.2360000000001</v>
      </c>
      <c r="CZ152">
        <f t="shared" si="221"/>
        <v>268.74799999999999</v>
      </c>
      <c r="DC152" t="s">
        <v>3</v>
      </c>
      <c r="DD152" t="s">
        <v>117</v>
      </c>
      <c r="DE152" t="s">
        <v>117</v>
      </c>
      <c r="DF152" t="s">
        <v>117</v>
      </c>
      <c r="DG152" t="s">
        <v>117</v>
      </c>
      <c r="DH152" t="s">
        <v>3</v>
      </c>
      <c r="DI152" t="s">
        <v>117</v>
      </c>
      <c r="DJ152" t="s">
        <v>117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16987630</v>
      </c>
      <c r="DV152" t="s">
        <v>31</v>
      </c>
      <c r="DW152" t="s">
        <v>31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1441815344</v>
      </c>
      <c r="EF152">
        <v>1</v>
      </c>
      <c r="EG152" t="s">
        <v>19</v>
      </c>
      <c r="EH152">
        <v>0</v>
      </c>
      <c r="EI152" t="s">
        <v>3</v>
      </c>
      <c r="EJ152">
        <v>4</v>
      </c>
      <c r="EK152">
        <v>0</v>
      </c>
      <c r="EL152" t="s">
        <v>20</v>
      </c>
      <c r="EM152" t="s">
        <v>21</v>
      </c>
      <c r="EO152" t="s">
        <v>3</v>
      </c>
      <c r="EQ152">
        <v>0</v>
      </c>
      <c r="ER152">
        <v>1343.74</v>
      </c>
      <c r="ES152">
        <v>0</v>
      </c>
      <c r="ET152">
        <v>0</v>
      </c>
      <c r="EU152">
        <v>0</v>
      </c>
      <c r="EV152">
        <v>1343.74</v>
      </c>
      <c r="EW152">
        <v>1.62</v>
      </c>
      <c r="EX152">
        <v>0</v>
      </c>
      <c r="EY152">
        <v>0</v>
      </c>
      <c r="FQ152">
        <v>0</v>
      </c>
      <c r="FR152">
        <f t="shared" si="207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1081179689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208"/>
        <v>0</v>
      </c>
      <c r="GM152">
        <f t="shared" si="209"/>
        <v>4837.47</v>
      </c>
      <c r="GN152">
        <f t="shared" si="210"/>
        <v>0</v>
      </c>
      <c r="GO152">
        <f t="shared" si="211"/>
        <v>0</v>
      </c>
      <c r="GP152">
        <f t="shared" si="212"/>
        <v>4837.47</v>
      </c>
      <c r="GR152">
        <v>0</v>
      </c>
      <c r="GS152">
        <v>3</v>
      </c>
      <c r="GT152">
        <v>0</v>
      </c>
      <c r="GU152" t="s">
        <v>3</v>
      </c>
      <c r="GV152">
        <f t="shared" si="213"/>
        <v>0</v>
      </c>
      <c r="GW152">
        <v>1</v>
      </c>
      <c r="GX152">
        <f t="shared" si="214"/>
        <v>0</v>
      </c>
      <c r="HA152">
        <v>0</v>
      </c>
      <c r="HB152">
        <v>0</v>
      </c>
      <c r="HC152">
        <f t="shared" si="215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">
      <c r="A153">
        <v>17</v>
      </c>
      <c r="B153">
        <v>1</v>
      </c>
      <c r="D153">
        <f>ROW(EtalonRes!A90)</f>
        <v>90</v>
      </c>
      <c r="E153" t="s">
        <v>223</v>
      </c>
      <c r="F153" t="s">
        <v>185</v>
      </c>
      <c r="G153" t="s">
        <v>186</v>
      </c>
      <c r="H153" t="s">
        <v>31</v>
      </c>
      <c r="I153">
        <f>ROUND(1+2,9)</f>
        <v>3</v>
      </c>
      <c r="J153">
        <v>0</v>
      </c>
      <c r="K153">
        <f>ROUND(1+2,9)</f>
        <v>3</v>
      </c>
      <c r="O153">
        <f t="shared" si="187"/>
        <v>372.9</v>
      </c>
      <c r="P153">
        <f t="shared" si="188"/>
        <v>1.89</v>
      </c>
      <c r="Q153">
        <f t="shared" si="189"/>
        <v>0</v>
      </c>
      <c r="R153">
        <f t="shared" si="190"/>
        <v>0</v>
      </c>
      <c r="S153">
        <f t="shared" si="191"/>
        <v>371.01</v>
      </c>
      <c r="T153">
        <f t="shared" si="192"/>
        <v>0</v>
      </c>
      <c r="U153">
        <f t="shared" si="193"/>
        <v>0.66</v>
      </c>
      <c r="V153">
        <f t="shared" si="194"/>
        <v>0</v>
      </c>
      <c r="W153">
        <f t="shared" si="195"/>
        <v>0</v>
      </c>
      <c r="X153">
        <f t="shared" si="196"/>
        <v>259.70999999999998</v>
      </c>
      <c r="Y153">
        <f t="shared" si="197"/>
        <v>37.1</v>
      </c>
      <c r="AA153">
        <v>1471988752</v>
      </c>
      <c r="AB153">
        <f t="shared" si="198"/>
        <v>124.3</v>
      </c>
      <c r="AC153">
        <f>ROUND((ES153),6)</f>
        <v>0.63</v>
      </c>
      <c r="AD153">
        <f>ROUND((((ET153)-(EU153))+AE153),6)</f>
        <v>0</v>
      </c>
      <c r="AE153">
        <f>ROUND((EU153),6)</f>
        <v>0</v>
      </c>
      <c r="AF153">
        <f>ROUND((EV153),6)</f>
        <v>123.67</v>
      </c>
      <c r="AG153">
        <f t="shared" si="200"/>
        <v>0</v>
      </c>
      <c r="AH153">
        <f>(EW153)</f>
        <v>0.22</v>
      </c>
      <c r="AI153">
        <f>(EX153)</f>
        <v>0</v>
      </c>
      <c r="AJ153">
        <f t="shared" si="202"/>
        <v>0</v>
      </c>
      <c r="AK153">
        <v>124.3</v>
      </c>
      <c r="AL153">
        <v>0.63</v>
      </c>
      <c r="AM153">
        <v>0</v>
      </c>
      <c r="AN153">
        <v>0</v>
      </c>
      <c r="AO153">
        <v>123.67</v>
      </c>
      <c r="AP153">
        <v>0</v>
      </c>
      <c r="AQ153">
        <v>0.22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187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203"/>
        <v>372.9</v>
      </c>
      <c r="CQ153">
        <f t="shared" si="216"/>
        <v>0.63</v>
      </c>
      <c r="CR153">
        <f>((((ET153)*BB153-(EU153)*BS153)+AE153*BS153)*AV153)</f>
        <v>0</v>
      </c>
      <c r="CS153">
        <f t="shared" si="217"/>
        <v>0</v>
      </c>
      <c r="CT153">
        <f t="shared" si="218"/>
        <v>123.67</v>
      </c>
      <c r="CU153">
        <f t="shared" si="204"/>
        <v>0</v>
      </c>
      <c r="CV153">
        <f t="shared" si="219"/>
        <v>0.22</v>
      </c>
      <c r="CW153">
        <f t="shared" si="205"/>
        <v>0</v>
      </c>
      <c r="CX153">
        <f t="shared" si="206"/>
        <v>0</v>
      </c>
      <c r="CY153">
        <f t="shared" si="220"/>
        <v>259.70699999999999</v>
      </c>
      <c r="CZ153">
        <f t="shared" si="221"/>
        <v>37.100999999999999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16987630</v>
      </c>
      <c r="DV153" t="s">
        <v>31</v>
      </c>
      <c r="DW153" t="s">
        <v>31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19</v>
      </c>
      <c r="EH153">
        <v>0</v>
      </c>
      <c r="EI153" t="s">
        <v>3</v>
      </c>
      <c r="EJ153">
        <v>4</v>
      </c>
      <c r="EK153">
        <v>0</v>
      </c>
      <c r="EL153" t="s">
        <v>20</v>
      </c>
      <c r="EM153" t="s">
        <v>21</v>
      </c>
      <c r="EO153" t="s">
        <v>3</v>
      </c>
      <c r="EQ153">
        <v>0</v>
      </c>
      <c r="ER153">
        <v>124.3</v>
      </c>
      <c r="ES153">
        <v>0.63</v>
      </c>
      <c r="ET153">
        <v>0</v>
      </c>
      <c r="EU153">
        <v>0</v>
      </c>
      <c r="EV153">
        <v>123.67</v>
      </c>
      <c r="EW153">
        <v>0.22</v>
      </c>
      <c r="EX153">
        <v>0</v>
      </c>
      <c r="EY153">
        <v>0</v>
      </c>
      <c r="FQ153">
        <v>0</v>
      </c>
      <c r="FR153">
        <f t="shared" si="207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109369204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si="208"/>
        <v>0</v>
      </c>
      <c r="GM153">
        <f t="shared" si="209"/>
        <v>669.71</v>
      </c>
      <c r="GN153">
        <f t="shared" si="210"/>
        <v>0</v>
      </c>
      <c r="GO153">
        <f t="shared" si="211"/>
        <v>0</v>
      </c>
      <c r="GP153">
        <f t="shared" si="212"/>
        <v>669.71</v>
      </c>
      <c r="GR153">
        <v>0</v>
      </c>
      <c r="GS153">
        <v>3</v>
      </c>
      <c r="GT153">
        <v>0</v>
      </c>
      <c r="GU153" t="s">
        <v>3</v>
      </c>
      <c r="GV153">
        <f t="shared" si="213"/>
        <v>0</v>
      </c>
      <c r="GW153">
        <v>1</v>
      </c>
      <c r="GX153">
        <f t="shared" si="214"/>
        <v>0</v>
      </c>
      <c r="HA153">
        <v>0</v>
      </c>
      <c r="HB153">
        <v>0</v>
      </c>
      <c r="HC153">
        <f t="shared" si="215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D154">
        <f>ROW(EtalonRes!A91)</f>
        <v>91</v>
      </c>
      <c r="E154" t="s">
        <v>224</v>
      </c>
      <c r="F154" t="s">
        <v>181</v>
      </c>
      <c r="G154" t="s">
        <v>182</v>
      </c>
      <c r="H154" t="s">
        <v>31</v>
      </c>
      <c r="I154">
        <f>ROUND(2+1,9)</f>
        <v>3</v>
      </c>
      <c r="J154">
        <v>0</v>
      </c>
      <c r="K154">
        <f>ROUND(2+1,9)</f>
        <v>3</v>
      </c>
      <c r="O154">
        <f t="shared" si="187"/>
        <v>2963.94</v>
      </c>
      <c r="P154">
        <f t="shared" si="188"/>
        <v>0</v>
      </c>
      <c r="Q154">
        <f t="shared" si="189"/>
        <v>0</v>
      </c>
      <c r="R154">
        <f t="shared" si="190"/>
        <v>0</v>
      </c>
      <c r="S154">
        <f t="shared" si="191"/>
        <v>2963.94</v>
      </c>
      <c r="T154">
        <f t="shared" si="192"/>
        <v>0</v>
      </c>
      <c r="U154">
        <f t="shared" si="193"/>
        <v>4.8000000000000007</v>
      </c>
      <c r="V154">
        <f t="shared" si="194"/>
        <v>0</v>
      </c>
      <c r="W154">
        <f t="shared" si="195"/>
        <v>0</v>
      </c>
      <c r="X154">
        <f t="shared" si="196"/>
        <v>2074.7600000000002</v>
      </c>
      <c r="Y154">
        <f t="shared" si="197"/>
        <v>296.39</v>
      </c>
      <c r="AA154">
        <v>1471988752</v>
      </c>
      <c r="AB154">
        <f t="shared" si="198"/>
        <v>987.98</v>
      </c>
      <c r="AC154">
        <f>ROUND(((ES154*2)),6)</f>
        <v>0</v>
      </c>
      <c r="AD154">
        <f>ROUND(((((ET154*2))-((EU154*2)))+AE154),6)</f>
        <v>0</v>
      </c>
      <c r="AE154">
        <f>ROUND(((EU154*2)),6)</f>
        <v>0</v>
      </c>
      <c r="AF154">
        <f>ROUND(((EV154*2)),6)</f>
        <v>987.98</v>
      </c>
      <c r="AG154">
        <f t="shared" si="200"/>
        <v>0</v>
      </c>
      <c r="AH154">
        <f>((EW154*2))</f>
        <v>1.6</v>
      </c>
      <c r="AI154">
        <f>((EX154*2))</f>
        <v>0</v>
      </c>
      <c r="AJ154">
        <f t="shared" si="202"/>
        <v>0</v>
      </c>
      <c r="AK154">
        <v>493.99</v>
      </c>
      <c r="AL154">
        <v>0</v>
      </c>
      <c r="AM154">
        <v>0</v>
      </c>
      <c r="AN154">
        <v>0</v>
      </c>
      <c r="AO154">
        <v>493.99</v>
      </c>
      <c r="AP154">
        <v>0</v>
      </c>
      <c r="AQ154">
        <v>0.8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183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203"/>
        <v>2963.94</v>
      </c>
      <c r="CQ154">
        <f t="shared" si="216"/>
        <v>0</v>
      </c>
      <c r="CR154">
        <f>(((((ET154*2))*BB154-((EU154*2))*BS154)+AE154*BS154)*AV154)</f>
        <v>0</v>
      </c>
      <c r="CS154">
        <f t="shared" si="217"/>
        <v>0</v>
      </c>
      <c r="CT154">
        <f t="shared" si="218"/>
        <v>987.98</v>
      </c>
      <c r="CU154">
        <f t="shared" si="204"/>
        <v>0</v>
      </c>
      <c r="CV154">
        <f t="shared" si="219"/>
        <v>1.6</v>
      </c>
      <c r="CW154">
        <f t="shared" si="205"/>
        <v>0</v>
      </c>
      <c r="CX154">
        <f t="shared" si="206"/>
        <v>0</v>
      </c>
      <c r="CY154">
        <f t="shared" si="220"/>
        <v>2074.7580000000003</v>
      </c>
      <c r="CZ154">
        <f t="shared" si="221"/>
        <v>296.39400000000001</v>
      </c>
      <c r="DC154" t="s">
        <v>3</v>
      </c>
      <c r="DD154" t="s">
        <v>117</v>
      </c>
      <c r="DE154" t="s">
        <v>117</v>
      </c>
      <c r="DF154" t="s">
        <v>117</v>
      </c>
      <c r="DG154" t="s">
        <v>117</v>
      </c>
      <c r="DH154" t="s">
        <v>3</v>
      </c>
      <c r="DI154" t="s">
        <v>117</v>
      </c>
      <c r="DJ154" t="s">
        <v>117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16987630</v>
      </c>
      <c r="DV154" t="s">
        <v>31</v>
      </c>
      <c r="DW154" t="s">
        <v>31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19</v>
      </c>
      <c r="EH154">
        <v>0</v>
      </c>
      <c r="EI154" t="s">
        <v>3</v>
      </c>
      <c r="EJ154">
        <v>4</v>
      </c>
      <c r="EK154">
        <v>0</v>
      </c>
      <c r="EL154" t="s">
        <v>20</v>
      </c>
      <c r="EM154" t="s">
        <v>21</v>
      </c>
      <c r="EO154" t="s">
        <v>3</v>
      </c>
      <c r="EQ154">
        <v>0</v>
      </c>
      <c r="ER154">
        <v>493.99</v>
      </c>
      <c r="ES154">
        <v>0</v>
      </c>
      <c r="ET154">
        <v>0</v>
      </c>
      <c r="EU154">
        <v>0</v>
      </c>
      <c r="EV154">
        <v>493.99</v>
      </c>
      <c r="EW154">
        <v>0.8</v>
      </c>
      <c r="EX154">
        <v>0</v>
      </c>
      <c r="EY154">
        <v>0</v>
      </c>
      <c r="FQ154">
        <v>0</v>
      </c>
      <c r="FR154">
        <f t="shared" si="207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-1923446589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208"/>
        <v>0</v>
      </c>
      <c r="GM154">
        <f t="shared" si="209"/>
        <v>5335.09</v>
      </c>
      <c r="GN154">
        <f t="shared" si="210"/>
        <v>0</v>
      </c>
      <c r="GO154">
        <f t="shared" si="211"/>
        <v>0</v>
      </c>
      <c r="GP154">
        <f t="shared" si="212"/>
        <v>5335.09</v>
      </c>
      <c r="GR154">
        <v>0</v>
      </c>
      <c r="GS154">
        <v>3</v>
      </c>
      <c r="GT154">
        <v>0</v>
      </c>
      <c r="GU154" t="s">
        <v>3</v>
      </c>
      <c r="GV154">
        <f t="shared" si="213"/>
        <v>0</v>
      </c>
      <c r="GW154">
        <v>1</v>
      </c>
      <c r="GX154">
        <f t="shared" si="214"/>
        <v>0</v>
      </c>
      <c r="HA154">
        <v>0</v>
      </c>
      <c r="HB154">
        <v>0</v>
      </c>
      <c r="HC154">
        <f t="shared" si="215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D155">
        <f>ROW(EtalonRes!A93)</f>
        <v>93</v>
      </c>
      <c r="E155" t="s">
        <v>225</v>
      </c>
      <c r="F155" t="s">
        <v>197</v>
      </c>
      <c r="G155" t="s">
        <v>198</v>
      </c>
      <c r="H155" t="s">
        <v>31</v>
      </c>
      <c r="I155">
        <v>6</v>
      </c>
      <c r="J155">
        <v>0</v>
      </c>
      <c r="K155">
        <v>6</v>
      </c>
      <c r="O155">
        <f t="shared" si="187"/>
        <v>813.3</v>
      </c>
      <c r="P155">
        <f t="shared" si="188"/>
        <v>3.78</v>
      </c>
      <c r="Q155">
        <f t="shared" si="189"/>
        <v>0</v>
      </c>
      <c r="R155">
        <f t="shared" si="190"/>
        <v>0</v>
      </c>
      <c r="S155">
        <f t="shared" si="191"/>
        <v>809.52</v>
      </c>
      <c r="T155">
        <f t="shared" si="192"/>
        <v>0</v>
      </c>
      <c r="U155">
        <f t="shared" si="193"/>
        <v>1.44</v>
      </c>
      <c r="V155">
        <f t="shared" si="194"/>
        <v>0</v>
      </c>
      <c r="W155">
        <f t="shared" si="195"/>
        <v>0</v>
      </c>
      <c r="X155">
        <f t="shared" si="196"/>
        <v>566.66</v>
      </c>
      <c r="Y155">
        <f t="shared" si="197"/>
        <v>80.95</v>
      </c>
      <c r="AA155">
        <v>1471988752</v>
      </c>
      <c r="AB155">
        <f t="shared" si="198"/>
        <v>135.55000000000001</v>
      </c>
      <c r="AC155">
        <f>ROUND((ES155),6)</f>
        <v>0.63</v>
      </c>
      <c r="AD155">
        <f>ROUND((((ET155)-(EU155))+AE155),6)</f>
        <v>0</v>
      </c>
      <c r="AE155">
        <f>ROUND((EU155),6)</f>
        <v>0</v>
      </c>
      <c r="AF155">
        <f>ROUND((EV155),6)</f>
        <v>134.91999999999999</v>
      </c>
      <c r="AG155">
        <f t="shared" si="200"/>
        <v>0</v>
      </c>
      <c r="AH155">
        <f>(EW155)</f>
        <v>0.24</v>
      </c>
      <c r="AI155">
        <f>(EX155)</f>
        <v>0</v>
      </c>
      <c r="AJ155">
        <f t="shared" si="202"/>
        <v>0</v>
      </c>
      <c r="AK155">
        <v>135.55000000000001</v>
      </c>
      <c r="AL155">
        <v>0.63</v>
      </c>
      <c r="AM155">
        <v>0</v>
      </c>
      <c r="AN155">
        <v>0</v>
      </c>
      <c r="AO155">
        <v>134.91999999999999</v>
      </c>
      <c r="AP155">
        <v>0</v>
      </c>
      <c r="AQ155">
        <v>0.24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199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203"/>
        <v>813.3</v>
      </c>
      <c r="CQ155">
        <f t="shared" si="216"/>
        <v>0.63</v>
      </c>
      <c r="CR155">
        <f>((((ET155)*BB155-(EU155)*BS155)+AE155*BS155)*AV155)</f>
        <v>0</v>
      </c>
      <c r="CS155">
        <f t="shared" si="217"/>
        <v>0</v>
      </c>
      <c r="CT155">
        <f t="shared" si="218"/>
        <v>134.91999999999999</v>
      </c>
      <c r="CU155">
        <f t="shared" si="204"/>
        <v>0</v>
      </c>
      <c r="CV155">
        <f t="shared" si="219"/>
        <v>0.24</v>
      </c>
      <c r="CW155">
        <f t="shared" si="205"/>
        <v>0</v>
      </c>
      <c r="CX155">
        <f t="shared" si="206"/>
        <v>0</v>
      </c>
      <c r="CY155">
        <f t="shared" si="220"/>
        <v>566.66399999999999</v>
      </c>
      <c r="CZ155">
        <f t="shared" si="221"/>
        <v>80.951999999999998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16987630</v>
      </c>
      <c r="DV155" t="s">
        <v>31</v>
      </c>
      <c r="DW155" t="s">
        <v>31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19</v>
      </c>
      <c r="EH155">
        <v>0</v>
      </c>
      <c r="EI155" t="s">
        <v>3</v>
      </c>
      <c r="EJ155">
        <v>4</v>
      </c>
      <c r="EK155">
        <v>0</v>
      </c>
      <c r="EL155" t="s">
        <v>20</v>
      </c>
      <c r="EM155" t="s">
        <v>21</v>
      </c>
      <c r="EO155" t="s">
        <v>3</v>
      </c>
      <c r="EQ155">
        <v>0</v>
      </c>
      <c r="ER155">
        <v>135.55000000000001</v>
      </c>
      <c r="ES155">
        <v>0.63</v>
      </c>
      <c r="ET155">
        <v>0</v>
      </c>
      <c r="EU155">
        <v>0</v>
      </c>
      <c r="EV155">
        <v>134.91999999999999</v>
      </c>
      <c r="EW155">
        <v>0.24</v>
      </c>
      <c r="EX155">
        <v>0</v>
      </c>
      <c r="EY155">
        <v>0</v>
      </c>
      <c r="FQ155">
        <v>0</v>
      </c>
      <c r="FR155">
        <f t="shared" si="207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-1714317955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208"/>
        <v>0</v>
      </c>
      <c r="GM155">
        <f t="shared" si="209"/>
        <v>1460.91</v>
      </c>
      <c r="GN155">
        <f t="shared" si="210"/>
        <v>0</v>
      </c>
      <c r="GO155">
        <f t="shared" si="211"/>
        <v>0</v>
      </c>
      <c r="GP155">
        <f t="shared" si="212"/>
        <v>1460.91</v>
      </c>
      <c r="GR155">
        <v>0</v>
      </c>
      <c r="GS155">
        <v>3</v>
      </c>
      <c r="GT155">
        <v>0</v>
      </c>
      <c r="GU155" t="s">
        <v>3</v>
      </c>
      <c r="GV155">
        <f t="shared" si="213"/>
        <v>0</v>
      </c>
      <c r="GW155">
        <v>1</v>
      </c>
      <c r="GX155">
        <f t="shared" si="214"/>
        <v>0</v>
      </c>
      <c r="HA155">
        <v>0</v>
      </c>
      <c r="HB155">
        <v>0</v>
      </c>
      <c r="HC155">
        <f t="shared" si="215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D156">
        <f>ROW(EtalonRes!A94)</f>
        <v>94</v>
      </c>
      <c r="E156" t="s">
        <v>3</v>
      </c>
      <c r="F156" t="s">
        <v>160</v>
      </c>
      <c r="G156" t="s">
        <v>161</v>
      </c>
      <c r="H156" t="s">
        <v>31</v>
      </c>
      <c r="I156">
        <v>4</v>
      </c>
      <c r="J156">
        <v>0</v>
      </c>
      <c r="K156">
        <v>4</v>
      </c>
      <c r="O156">
        <f t="shared" si="187"/>
        <v>148.19999999999999</v>
      </c>
      <c r="P156">
        <f t="shared" si="188"/>
        <v>0</v>
      </c>
      <c r="Q156">
        <f t="shared" si="189"/>
        <v>0</v>
      </c>
      <c r="R156">
        <f t="shared" si="190"/>
        <v>0</v>
      </c>
      <c r="S156">
        <f t="shared" si="191"/>
        <v>148.19999999999999</v>
      </c>
      <c r="T156">
        <f t="shared" si="192"/>
        <v>0</v>
      </c>
      <c r="U156">
        <f t="shared" si="193"/>
        <v>0.24</v>
      </c>
      <c r="V156">
        <f t="shared" si="194"/>
        <v>0</v>
      </c>
      <c r="W156">
        <f t="shared" si="195"/>
        <v>0</v>
      </c>
      <c r="X156">
        <f t="shared" si="196"/>
        <v>103.74</v>
      </c>
      <c r="Y156">
        <f t="shared" si="197"/>
        <v>14.82</v>
      </c>
      <c r="AA156">
        <v>-1</v>
      </c>
      <c r="AB156">
        <f t="shared" si="198"/>
        <v>37.049999999999997</v>
      </c>
      <c r="AC156">
        <f>ROUND((ES156),6)</f>
        <v>0</v>
      </c>
      <c r="AD156">
        <f>ROUND((((ET156)-(EU156))+AE156),6)</f>
        <v>0</v>
      </c>
      <c r="AE156">
        <f>ROUND((EU156),6)</f>
        <v>0</v>
      </c>
      <c r="AF156">
        <f>ROUND((EV156),6)</f>
        <v>37.049999999999997</v>
      </c>
      <c r="AG156">
        <f t="shared" si="200"/>
        <v>0</v>
      </c>
      <c r="AH156">
        <f>(EW156)</f>
        <v>0.06</v>
      </c>
      <c r="AI156">
        <f>(EX156)</f>
        <v>0</v>
      </c>
      <c r="AJ156">
        <f t="shared" si="202"/>
        <v>0</v>
      </c>
      <c r="AK156">
        <v>37.049999999999997</v>
      </c>
      <c r="AL156">
        <v>0</v>
      </c>
      <c r="AM156">
        <v>0</v>
      </c>
      <c r="AN156">
        <v>0</v>
      </c>
      <c r="AO156">
        <v>37.049999999999997</v>
      </c>
      <c r="AP156">
        <v>0</v>
      </c>
      <c r="AQ156">
        <v>0.06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162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203"/>
        <v>148.19999999999999</v>
      </c>
      <c r="CQ156">
        <f t="shared" si="216"/>
        <v>0</v>
      </c>
      <c r="CR156">
        <f>((((ET156)*BB156-(EU156)*BS156)+AE156*BS156)*AV156)</f>
        <v>0</v>
      </c>
      <c r="CS156">
        <f t="shared" si="217"/>
        <v>0</v>
      </c>
      <c r="CT156">
        <f t="shared" si="218"/>
        <v>37.049999999999997</v>
      </c>
      <c r="CU156">
        <f t="shared" si="204"/>
        <v>0</v>
      </c>
      <c r="CV156">
        <f t="shared" si="219"/>
        <v>0.06</v>
      </c>
      <c r="CW156">
        <f t="shared" si="205"/>
        <v>0</v>
      </c>
      <c r="CX156">
        <f t="shared" si="206"/>
        <v>0</v>
      </c>
      <c r="CY156">
        <f t="shared" si="220"/>
        <v>103.74</v>
      </c>
      <c r="CZ156">
        <f t="shared" si="221"/>
        <v>14.82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16987630</v>
      </c>
      <c r="DV156" t="s">
        <v>31</v>
      </c>
      <c r="DW156" t="s">
        <v>31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1441815344</v>
      </c>
      <c r="EF156">
        <v>1</v>
      </c>
      <c r="EG156" t="s">
        <v>19</v>
      </c>
      <c r="EH156">
        <v>0</v>
      </c>
      <c r="EI156" t="s">
        <v>3</v>
      </c>
      <c r="EJ156">
        <v>4</v>
      </c>
      <c r="EK156">
        <v>0</v>
      </c>
      <c r="EL156" t="s">
        <v>20</v>
      </c>
      <c r="EM156" t="s">
        <v>21</v>
      </c>
      <c r="EO156" t="s">
        <v>3</v>
      </c>
      <c r="EQ156">
        <v>1024</v>
      </c>
      <c r="ER156">
        <v>37.049999999999997</v>
      </c>
      <c r="ES156">
        <v>0</v>
      </c>
      <c r="ET156">
        <v>0</v>
      </c>
      <c r="EU156">
        <v>0</v>
      </c>
      <c r="EV156">
        <v>37.049999999999997</v>
      </c>
      <c r="EW156">
        <v>0.06</v>
      </c>
      <c r="EX156">
        <v>0</v>
      </c>
      <c r="EY156">
        <v>0</v>
      </c>
      <c r="FQ156">
        <v>0</v>
      </c>
      <c r="FR156">
        <f t="shared" si="207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-392802265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208"/>
        <v>0</v>
      </c>
      <c r="GM156">
        <f t="shared" si="209"/>
        <v>266.76</v>
      </c>
      <c r="GN156">
        <f t="shared" si="210"/>
        <v>0</v>
      </c>
      <c r="GO156">
        <f t="shared" si="211"/>
        <v>0</v>
      </c>
      <c r="GP156">
        <f t="shared" si="212"/>
        <v>266.76</v>
      </c>
      <c r="GR156">
        <v>0</v>
      </c>
      <c r="GS156">
        <v>3</v>
      </c>
      <c r="GT156">
        <v>0</v>
      </c>
      <c r="GU156" t="s">
        <v>3</v>
      </c>
      <c r="GV156">
        <f t="shared" si="213"/>
        <v>0</v>
      </c>
      <c r="GW156">
        <v>1</v>
      </c>
      <c r="GX156">
        <f t="shared" si="214"/>
        <v>0</v>
      </c>
      <c r="HA156">
        <v>0</v>
      </c>
      <c r="HB156">
        <v>0</v>
      </c>
      <c r="HC156">
        <f t="shared" si="215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D157">
        <f>ROW(EtalonRes!A97)</f>
        <v>97</v>
      </c>
      <c r="E157" t="s">
        <v>226</v>
      </c>
      <c r="F157" t="s">
        <v>201</v>
      </c>
      <c r="G157" t="s">
        <v>202</v>
      </c>
      <c r="H157" t="s">
        <v>31</v>
      </c>
      <c r="I157">
        <v>2</v>
      </c>
      <c r="J157">
        <v>0</v>
      </c>
      <c r="K157">
        <v>2</v>
      </c>
      <c r="O157">
        <f t="shared" si="187"/>
        <v>3924.72</v>
      </c>
      <c r="P157">
        <f t="shared" si="188"/>
        <v>5.04</v>
      </c>
      <c r="Q157">
        <f t="shared" si="189"/>
        <v>1563.6</v>
      </c>
      <c r="R157">
        <f t="shared" si="190"/>
        <v>991.44</v>
      </c>
      <c r="S157">
        <f t="shared" si="191"/>
        <v>2356.08</v>
      </c>
      <c r="T157">
        <f t="shared" si="192"/>
        <v>0</v>
      </c>
      <c r="U157">
        <f t="shared" si="193"/>
        <v>3.36</v>
      </c>
      <c r="V157">
        <f t="shared" si="194"/>
        <v>0</v>
      </c>
      <c r="W157">
        <f t="shared" si="195"/>
        <v>0</v>
      </c>
      <c r="X157">
        <f t="shared" si="196"/>
        <v>1649.26</v>
      </c>
      <c r="Y157">
        <f t="shared" si="197"/>
        <v>235.61</v>
      </c>
      <c r="AA157">
        <v>1471988752</v>
      </c>
      <c r="AB157">
        <f t="shared" si="198"/>
        <v>1962.36</v>
      </c>
      <c r="AC157">
        <f>ROUND(((ES157*4)),6)</f>
        <v>2.52</v>
      </c>
      <c r="AD157">
        <f>ROUND(((((ET157*4))-((EU157*4)))+AE157),6)</f>
        <v>781.8</v>
      </c>
      <c r="AE157">
        <f>ROUND(((EU157*4)),6)</f>
        <v>495.72</v>
      </c>
      <c r="AF157">
        <f>ROUND(((EV157*4)),6)</f>
        <v>1178.04</v>
      </c>
      <c r="AG157">
        <f t="shared" si="200"/>
        <v>0</v>
      </c>
      <c r="AH157">
        <f>((EW157*4))</f>
        <v>1.68</v>
      </c>
      <c r="AI157">
        <f>((EX157*4))</f>
        <v>0</v>
      </c>
      <c r="AJ157">
        <f t="shared" si="202"/>
        <v>0</v>
      </c>
      <c r="AK157">
        <v>490.59</v>
      </c>
      <c r="AL157">
        <v>0.63</v>
      </c>
      <c r="AM157">
        <v>195.45</v>
      </c>
      <c r="AN157">
        <v>123.93</v>
      </c>
      <c r="AO157">
        <v>294.51</v>
      </c>
      <c r="AP157">
        <v>0</v>
      </c>
      <c r="AQ157">
        <v>0.42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203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203"/>
        <v>3924.72</v>
      </c>
      <c r="CQ157">
        <f t="shared" si="216"/>
        <v>2.52</v>
      </c>
      <c r="CR157">
        <f>(((((ET157*4))*BB157-((EU157*4))*BS157)+AE157*BS157)*AV157)</f>
        <v>781.8</v>
      </c>
      <c r="CS157">
        <f t="shared" si="217"/>
        <v>495.72</v>
      </c>
      <c r="CT157">
        <f t="shared" si="218"/>
        <v>1178.04</v>
      </c>
      <c r="CU157">
        <f t="shared" si="204"/>
        <v>0</v>
      </c>
      <c r="CV157">
        <f t="shared" si="219"/>
        <v>1.68</v>
      </c>
      <c r="CW157">
        <f t="shared" si="205"/>
        <v>0</v>
      </c>
      <c r="CX157">
        <f t="shared" si="206"/>
        <v>0</v>
      </c>
      <c r="CY157">
        <f t="shared" si="220"/>
        <v>1649.2560000000001</v>
      </c>
      <c r="CZ157">
        <f t="shared" si="221"/>
        <v>235.608</v>
      </c>
      <c r="DC157" t="s">
        <v>3</v>
      </c>
      <c r="DD157" t="s">
        <v>25</v>
      </c>
      <c r="DE157" t="s">
        <v>25</v>
      </c>
      <c r="DF157" t="s">
        <v>25</v>
      </c>
      <c r="DG157" t="s">
        <v>25</v>
      </c>
      <c r="DH157" t="s">
        <v>3</v>
      </c>
      <c r="DI157" t="s">
        <v>25</v>
      </c>
      <c r="DJ157" t="s">
        <v>25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16987630</v>
      </c>
      <c r="DV157" t="s">
        <v>31</v>
      </c>
      <c r="DW157" t="s">
        <v>31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19</v>
      </c>
      <c r="EH157">
        <v>0</v>
      </c>
      <c r="EI157" t="s">
        <v>3</v>
      </c>
      <c r="EJ157">
        <v>4</v>
      </c>
      <c r="EK157">
        <v>0</v>
      </c>
      <c r="EL157" t="s">
        <v>20</v>
      </c>
      <c r="EM157" t="s">
        <v>21</v>
      </c>
      <c r="EO157" t="s">
        <v>3</v>
      </c>
      <c r="EQ157">
        <v>0</v>
      </c>
      <c r="ER157">
        <v>490.59</v>
      </c>
      <c r="ES157">
        <v>0.63</v>
      </c>
      <c r="ET157">
        <v>195.45</v>
      </c>
      <c r="EU157">
        <v>123.93</v>
      </c>
      <c r="EV157">
        <v>294.51</v>
      </c>
      <c r="EW157">
        <v>0.42</v>
      </c>
      <c r="EX157">
        <v>0</v>
      </c>
      <c r="EY157">
        <v>0</v>
      </c>
      <c r="FQ157">
        <v>0</v>
      </c>
      <c r="FR157">
        <f t="shared" si="207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-364815351</v>
      </c>
      <c r="GG157">
        <v>2</v>
      </c>
      <c r="GH157">
        <v>1</v>
      </c>
      <c r="GI157">
        <v>-2</v>
      </c>
      <c r="GJ157">
        <v>0</v>
      </c>
      <c r="GK157">
        <f>ROUND(R157*(R12)/100,2)</f>
        <v>1070.76</v>
      </c>
      <c r="GL157">
        <f t="shared" si="208"/>
        <v>0</v>
      </c>
      <c r="GM157">
        <f t="shared" si="209"/>
        <v>6880.35</v>
      </c>
      <c r="GN157">
        <f t="shared" si="210"/>
        <v>0</v>
      </c>
      <c r="GO157">
        <f t="shared" si="211"/>
        <v>0</v>
      </c>
      <c r="GP157">
        <f t="shared" si="212"/>
        <v>6880.35</v>
      </c>
      <c r="GR157">
        <v>0</v>
      </c>
      <c r="GS157">
        <v>3</v>
      </c>
      <c r="GT157">
        <v>0</v>
      </c>
      <c r="GU157" t="s">
        <v>3</v>
      </c>
      <c r="GV157">
        <f t="shared" si="213"/>
        <v>0</v>
      </c>
      <c r="GW157">
        <v>1</v>
      </c>
      <c r="GX157">
        <f t="shared" si="214"/>
        <v>0</v>
      </c>
      <c r="HA157">
        <v>0</v>
      </c>
      <c r="HB157">
        <v>0</v>
      </c>
      <c r="HC157">
        <f t="shared" si="215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D158">
        <f>ROW(EtalonRes!A100)</f>
        <v>100</v>
      </c>
      <c r="E158" t="s">
        <v>227</v>
      </c>
      <c r="F158" t="s">
        <v>205</v>
      </c>
      <c r="G158" t="s">
        <v>206</v>
      </c>
      <c r="H158" t="s">
        <v>31</v>
      </c>
      <c r="I158">
        <v>1</v>
      </c>
      <c r="J158">
        <v>0</v>
      </c>
      <c r="K158">
        <v>1</v>
      </c>
      <c r="O158">
        <f t="shared" si="187"/>
        <v>577.62</v>
      </c>
      <c r="P158">
        <f t="shared" si="188"/>
        <v>38.28</v>
      </c>
      <c r="Q158">
        <f t="shared" si="189"/>
        <v>0</v>
      </c>
      <c r="R158">
        <f t="shared" si="190"/>
        <v>0</v>
      </c>
      <c r="S158">
        <f t="shared" si="191"/>
        <v>539.34</v>
      </c>
      <c r="T158">
        <f t="shared" si="192"/>
        <v>0</v>
      </c>
      <c r="U158">
        <f t="shared" si="193"/>
        <v>0.76</v>
      </c>
      <c r="V158">
        <f t="shared" si="194"/>
        <v>0</v>
      </c>
      <c r="W158">
        <f t="shared" si="195"/>
        <v>0</v>
      </c>
      <c r="X158">
        <f t="shared" si="196"/>
        <v>377.54</v>
      </c>
      <c r="Y158">
        <f t="shared" si="197"/>
        <v>53.93</v>
      </c>
      <c r="AA158">
        <v>1471988752</v>
      </c>
      <c r="AB158">
        <f t="shared" si="198"/>
        <v>577.62</v>
      </c>
      <c r="AC158">
        <f>ROUND(((ES158*2)),6)</f>
        <v>38.28</v>
      </c>
      <c r="AD158">
        <f>ROUND(((((ET158*2))-((EU158*2)))+AE158),6)</f>
        <v>0</v>
      </c>
      <c r="AE158">
        <f>ROUND(((EU158*2)),6)</f>
        <v>0</v>
      </c>
      <c r="AF158">
        <f>ROUND(((EV158*2)),6)</f>
        <v>539.34</v>
      </c>
      <c r="AG158">
        <f t="shared" si="200"/>
        <v>0</v>
      </c>
      <c r="AH158">
        <f>((EW158*2))</f>
        <v>0.76</v>
      </c>
      <c r="AI158">
        <f>((EX158*2))</f>
        <v>0</v>
      </c>
      <c r="AJ158">
        <f t="shared" si="202"/>
        <v>0</v>
      </c>
      <c r="AK158">
        <v>288.81</v>
      </c>
      <c r="AL158">
        <v>19.14</v>
      </c>
      <c r="AM158">
        <v>0</v>
      </c>
      <c r="AN158">
        <v>0</v>
      </c>
      <c r="AO158">
        <v>269.67</v>
      </c>
      <c r="AP158">
        <v>0</v>
      </c>
      <c r="AQ158">
        <v>0.38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207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203"/>
        <v>577.62</v>
      </c>
      <c r="CQ158">
        <f t="shared" si="216"/>
        <v>38.28</v>
      </c>
      <c r="CR158">
        <f>(((((ET158*2))*BB158-((EU158*2))*BS158)+AE158*BS158)*AV158)</f>
        <v>0</v>
      </c>
      <c r="CS158">
        <f t="shared" si="217"/>
        <v>0</v>
      </c>
      <c r="CT158">
        <f t="shared" si="218"/>
        <v>539.34</v>
      </c>
      <c r="CU158">
        <f t="shared" si="204"/>
        <v>0</v>
      </c>
      <c r="CV158">
        <f t="shared" si="219"/>
        <v>0.76</v>
      </c>
      <c r="CW158">
        <f t="shared" si="205"/>
        <v>0</v>
      </c>
      <c r="CX158">
        <f t="shared" si="206"/>
        <v>0</v>
      </c>
      <c r="CY158">
        <f t="shared" si="220"/>
        <v>377.53800000000001</v>
      </c>
      <c r="CZ158">
        <f t="shared" si="221"/>
        <v>53.934000000000005</v>
      </c>
      <c r="DC158" t="s">
        <v>3</v>
      </c>
      <c r="DD158" t="s">
        <v>117</v>
      </c>
      <c r="DE158" t="s">
        <v>117</v>
      </c>
      <c r="DF158" t="s">
        <v>117</v>
      </c>
      <c r="DG158" t="s">
        <v>117</v>
      </c>
      <c r="DH158" t="s">
        <v>3</v>
      </c>
      <c r="DI158" t="s">
        <v>117</v>
      </c>
      <c r="DJ158" t="s">
        <v>117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16987630</v>
      </c>
      <c r="DV158" t="s">
        <v>31</v>
      </c>
      <c r="DW158" t="s">
        <v>31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19</v>
      </c>
      <c r="EH158">
        <v>0</v>
      </c>
      <c r="EI158" t="s">
        <v>3</v>
      </c>
      <c r="EJ158">
        <v>4</v>
      </c>
      <c r="EK158">
        <v>0</v>
      </c>
      <c r="EL158" t="s">
        <v>20</v>
      </c>
      <c r="EM158" t="s">
        <v>21</v>
      </c>
      <c r="EO158" t="s">
        <v>3</v>
      </c>
      <c r="EQ158">
        <v>0</v>
      </c>
      <c r="ER158">
        <v>288.81</v>
      </c>
      <c r="ES158">
        <v>19.14</v>
      </c>
      <c r="ET158">
        <v>0</v>
      </c>
      <c r="EU158">
        <v>0</v>
      </c>
      <c r="EV158">
        <v>269.67</v>
      </c>
      <c r="EW158">
        <v>0.38</v>
      </c>
      <c r="EX158">
        <v>0</v>
      </c>
      <c r="EY158">
        <v>0</v>
      </c>
      <c r="FQ158">
        <v>0</v>
      </c>
      <c r="FR158">
        <f t="shared" si="207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1498136171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208"/>
        <v>0</v>
      </c>
      <c r="GM158">
        <f t="shared" si="209"/>
        <v>1009.09</v>
      </c>
      <c r="GN158">
        <f t="shared" si="210"/>
        <v>0</v>
      </c>
      <c r="GO158">
        <f t="shared" si="211"/>
        <v>0</v>
      </c>
      <c r="GP158">
        <f t="shared" si="212"/>
        <v>1009.09</v>
      </c>
      <c r="GR158">
        <v>0</v>
      </c>
      <c r="GS158">
        <v>3</v>
      </c>
      <c r="GT158">
        <v>0</v>
      </c>
      <c r="GU158" t="s">
        <v>3</v>
      </c>
      <c r="GV158">
        <f t="shared" si="213"/>
        <v>0</v>
      </c>
      <c r="GW158">
        <v>1</v>
      </c>
      <c r="GX158">
        <f t="shared" si="214"/>
        <v>0</v>
      </c>
      <c r="HA158">
        <v>0</v>
      </c>
      <c r="HB158">
        <v>0</v>
      </c>
      <c r="HC158">
        <f t="shared" si="215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D159">
        <f>ROW(EtalonRes!A101)</f>
        <v>101</v>
      </c>
      <c r="E159" t="s">
        <v>228</v>
      </c>
      <c r="F159" t="s">
        <v>164</v>
      </c>
      <c r="G159" t="s">
        <v>165</v>
      </c>
      <c r="H159" t="s">
        <v>40</v>
      </c>
      <c r="I159">
        <f>ROUND(2/10,9)</f>
        <v>0.2</v>
      </c>
      <c r="J159">
        <v>0</v>
      </c>
      <c r="K159">
        <f>ROUND(2/10,9)</f>
        <v>0.2</v>
      </c>
      <c r="O159">
        <f t="shared" si="187"/>
        <v>55.57</v>
      </c>
      <c r="P159">
        <f t="shared" si="188"/>
        <v>0</v>
      </c>
      <c r="Q159">
        <f t="shared" si="189"/>
        <v>0</v>
      </c>
      <c r="R159">
        <f t="shared" si="190"/>
        <v>0</v>
      </c>
      <c r="S159">
        <f t="shared" si="191"/>
        <v>55.57</v>
      </c>
      <c r="T159">
        <f t="shared" si="192"/>
        <v>0</v>
      </c>
      <c r="U159">
        <f t="shared" si="193"/>
        <v>9.0000000000000011E-2</v>
      </c>
      <c r="V159">
        <f t="shared" si="194"/>
        <v>0</v>
      </c>
      <c r="W159">
        <f t="shared" si="195"/>
        <v>0</v>
      </c>
      <c r="X159">
        <f t="shared" si="196"/>
        <v>38.9</v>
      </c>
      <c r="Y159">
        <f t="shared" si="197"/>
        <v>5.56</v>
      </c>
      <c r="AA159">
        <v>1471988752</v>
      </c>
      <c r="AB159">
        <f t="shared" si="198"/>
        <v>277.87</v>
      </c>
      <c r="AC159">
        <f>ROUND((ES159),6)</f>
        <v>0</v>
      </c>
      <c r="AD159">
        <f>ROUND((((ET159)-(EU159))+AE159),6)</f>
        <v>0</v>
      </c>
      <c r="AE159">
        <f>ROUND((EU159),6)</f>
        <v>0</v>
      </c>
      <c r="AF159">
        <f>ROUND((EV159),6)</f>
        <v>277.87</v>
      </c>
      <c r="AG159">
        <f t="shared" si="200"/>
        <v>0</v>
      </c>
      <c r="AH159">
        <f>(EW159)</f>
        <v>0.45</v>
      </c>
      <c r="AI159">
        <f>(EX159)</f>
        <v>0</v>
      </c>
      <c r="AJ159">
        <f t="shared" si="202"/>
        <v>0</v>
      </c>
      <c r="AK159">
        <v>277.87</v>
      </c>
      <c r="AL159">
        <v>0</v>
      </c>
      <c r="AM159">
        <v>0</v>
      </c>
      <c r="AN159">
        <v>0</v>
      </c>
      <c r="AO159">
        <v>277.87</v>
      </c>
      <c r="AP159">
        <v>0</v>
      </c>
      <c r="AQ159">
        <v>0.45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166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203"/>
        <v>55.57</v>
      </c>
      <c r="CQ159">
        <f t="shared" si="216"/>
        <v>0</v>
      </c>
      <c r="CR159">
        <f>((((ET159)*BB159-(EU159)*BS159)+AE159*BS159)*AV159)</f>
        <v>0</v>
      </c>
      <c r="CS159">
        <f t="shared" si="217"/>
        <v>0</v>
      </c>
      <c r="CT159">
        <f t="shared" si="218"/>
        <v>277.87</v>
      </c>
      <c r="CU159">
        <f t="shared" si="204"/>
        <v>0</v>
      </c>
      <c r="CV159">
        <f t="shared" si="219"/>
        <v>0.45</v>
      </c>
      <c r="CW159">
        <f t="shared" si="205"/>
        <v>0</v>
      </c>
      <c r="CX159">
        <f t="shared" si="206"/>
        <v>0</v>
      </c>
      <c r="CY159">
        <f t="shared" si="220"/>
        <v>38.899000000000001</v>
      </c>
      <c r="CZ159">
        <f t="shared" si="221"/>
        <v>5.5570000000000004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16987630</v>
      </c>
      <c r="DV159" t="s">
        <v>40</v>
      </c>
      <c r="DW159" t="s">
        <v>40</v>
      </c>
      <c r="DX159">
        <v>10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19</v>
      </c>
      <c r="EH159">
        <v>0</v>
      </c>
      <c r="EI159" t="s">
        <v>3</v>
      </c>
      <c r="EJ159">
        <v>4</v>
      </c>
      <c r="EK159">
        <v>0</v>
      </c>
      <c r="EL159" t="s">
        <v>20</v>
      </c>
      <c r="EM159" t="s">
        <v>21</v>
      </c>
      <c r="EO159" t="s">
        <v>3</v>
      </c>
      <c r="EQ159">
        <v>0</v>
      </c>
      <c r="ER159">
        <v>277.87</v>
      </c>
      <c r="ES159">
        <v>0</v>
      </c>
      <c r="ET159">
        <v>0</v>
      </c>
      <c r="EU159">
        <v>0</v>
      </c>
      <c r="EV159">
        <v>277.87</v>
      </c>
      <c r="EW159">
        <v>0.45</v>
      </c>
      <c r="EX159">
        <v>0</v>
      </c>
      <c r="EY159">
        <v>0</v>
      </c>
      <c r="FQ159">
        <v>0</v>
      </c>
      <c r="FR159">
        <f t="shared" si="207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-559430364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si="208"/>
        <v>0</v>
      </c>
      <c r="GM159">
        <f t="shared" si="209"/>
        <v>100.03</v>
      </c>
      <c r="GN159">
        <f t="shared" si="210"/>
        <v>0</v>
      </c>
      <c r="GO159">
        <f t="shared" si="211"/>
        <v>0</v>
      </c>
      <c r="GP159">
        <f t="shared" si="212"/>
        <v>100.03</v>
      </c>
      <c r="GR159">
        <v>0</v>
      </c>
      <c r="GS159">
        <v>3</v>
      </c>
      <c r="GT159">
        <v>0</v>
      </c>
      <c r="GU159" t="s">
        <v>3</v>
      </c>
      <c r="GV159">
        <f t="shared" si="213"/>
        <v>0</v>
      </c>
      <c r="GW159">
        <v>1</v>
      </c>
      <c r="GX159">
        <f t="shared" si="214"/>
        <v>0</v>
      </c>
      <c r="HA159">
        <v>0</v>
      </c>
      <c r="HB159">
        <v>0</v>
      </c>
      <c r="HC159">
        <f t="shared" si="215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D160">
        <f>ROW(EtalonRes!A104)</f>
        <v>104</v>
      </c>
      <c r="E160" t="s">
        <v>229</v>
      </c>
      <c r="F160" t="s">
        <v>144</v>
      </c>
      <c r="G160" t="s">
        <v>145</v>
      </c>
      <c r="H160" t="s">
        <v>31</v>
      </c>
      <c r="I160">
        <f>ROUND(2+2,9)</f>
        <v>4</v>
      </c>
      <c r="J160">
        <v>0</v>
      </c>
      <c r="K160">
        <f>ROUND(2+2,9)</f>
        <v>4</v>
      </c>
      <c r="O160">
        <f t="shared" si="187"/>
        <v>1913.04</v>
      </c>
      <c r="P160">
        <f t="shared" si="188"/>
        <v>153.12</v>
      </c>
      <c r="Q160">
        <f t="shared" si="189"/>
        <v>0</v>
      </c>
      <c r="R160">
        <f t="shared" si="190"/>
        <v>0</v>
      </c>
      <c r="S160">
        <f t="shared" si="191"/>
        <v>1759.92</v>
      </c>
      <c r="T160">
        <f t="shared" si="192"/>
        <v>0</v>
      </c>
      <c r="U160">
        <f t="shared" si="193"/>
        <v>2.48</v>
      </c>
      <c r="V160">
        <f t="shared" si="194"/>
        <v>0</v>
      </c>
      <c r="W160">
        <f t="shared" si="195"/>
        <v>0</v>
      </c>
      <c r="X160">
        <f t="shared" si="196"/>
        <v>1231.94</v>
      </c>
      <c r="Y160">
        <f t="shared" si="197"/>
        <v>175.99</v>
      </c>
      <c r="AA160">
        <v>1471988752</v>
      </c>
      <c r="AB160">
        <f t="shared" si="198"/>
        <v>478.26</v>
      </c>
      <c r="AC160">
        <f>ROUND(((ES160*2)),6)</f>
        <v>38.28</v>
      </c>
      <c r="AD160">
        <f>ROUND(((((ET160*2))-((EU160*2)))+AE160),6)</f>
        <v>0</v>
      </c>
      <c r="AE160">
        <f>ROUND(((EU160*2)),6)</f>
        <v>0</v>
      </c>
      <c r="AF160">
        <f>ROUND(((EV160*2)),6)</f>
        <v>439.98</v>
      </c>
      <c r="AG160">
        <f t="shared" si="200"/>
        <v>0</v>
      </c>
      <c r="AH160">
        <f>((EW160*2))</f>
        <v>0.62</v>
      </c>
      <c r="AI160">
        <f>((EX160*2))</f>
        <v>0</v>
      </c>
      <c r="AJ160">
        <f t="shared" si="202"/>
        <v>0</v>
      </c>
      <c r="AK160">
        <v>239.13</v>
      </c>
      <c r="AL160">
        <v>19.14</v>
      </c>
      <c r="AM160">
        <v>0</v>
      </c>
      <c r="AN160">
        <v>0</v>
      </c>
      <c r="AO160">
        <v>219.99</v>
      </c>
      <c r="AP160">
        <v>0</v>
      </c>
      <c r="AQ160">
        <v>0.31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146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203"/>
        <v>1913.04</v>
      </c>
      <c r="CQ160">
        <f t="shared" si="216"/>
        <v>38.28</v>
      </c>
      <c r="CR160">
        <f>(((((ET160*2))*BB160-((EU160*2))*BS160)+AE160*BS160)*AV160)</f>
        <v>0</v>
      </c>
      <c r="CS160">
        <f t="shared" si="217"/>
        <v>0</v>
      </c>
      <c r="CT160">
        <f t="shared" si="218"/>
        <v>439.98</v>
      </c>
      <c r="CU160">
        <f t="shared" si="204"/>
        <v>0</v>
      </c>
      <c r="CV160">
        <f t="shared" si="219"/>
        <v>0.62</v>
      </c>
      <c r="CW160">
        <f t="shared" si="205"/>
        <v>0</v>
      </c>
      <c r="CX160">
        <f t="shared" si="206"/>
        <v>0</v>
      </c>
      <c r="CY160">
        <f t="shared" si="220"/>
        <v>1231.9440000000002</v>
      </c>
      <c r="CZ160">
        <f t="shared" si="221"/>
        <v>175.99200000000002</v>
      </c>
      <c r="DC160" t="s">
        <v>3</v>
      </c>
      <c r="DD160" t="s">
        <v>117</v>
      </c>
      <c r="DE160" t="s">
        <v>117</v>
      </c>
      <c r="DF160" t="s">
        <v>117</v>
      </c>
      <c r="DG160" t="s">
        <v>117</v>
      </c>
      <c r="DH160" t="s">
        <v>3</v>
      </c>
      <c r="DI160" t="s">
        <v>117</v>
      </c>
      <c r="DJ160" t="s">
        <v>117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16987630</v>
      </c>
      <c r="DV160" t="s">
        <v>31</v>
      </c>
      <c r="DW160" t="s">
        <v>31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19</v>
      </c>
      <c r="EH160">
        <v>0</v>
      </c>
      <c r="EI160" t="s">
        <v>3</v>
      </c>
      <c r="EJ160">
        <v>4</v>
      </c>
      <c r="EK160">
        <v>0</v>
      </c>
      <c r="EL160" t="s">
        <v>20</v>
      </c>
      <c r="EM160" t="s">
        <v>21</v>
      </c>
      <c r="EO160" t="s">
        <v>3</v>
      </c>
      <c r="EQ160">
        <v>0</v>
      </c>
      <c r="ER160">
        <v>239.13</v>
      </c>
      <c r="ES160">
        <v>19.14</v>
      </c>
      <c r="ET160">
        <v>0</v>
      </c>
      <c r="EU160">
        <v>0</v>
      </c>
      <c r="EV160">
        <v>219.99</v>
      </c>
      <c r="EW160">
        <v>0.31</v>
      </c>
      <c r="EX160">
        <v>0</v>
      </c>
      <c r="EY160">
        <v>0</v>
      </c>
      <c r="FQ160">
        <v>0</v>
      </c>
      <c r="FR160">
        <f t="shared" si="207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-1042054303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208"/>
        <v>0</v>
      </c>
      <c r="GM160">
        <f t="shared" si="209"/>
        <v>3320.97</v>
      </c>
      <c r="GN160">
        <f t="shared" si="210"/>
        <v>0</v>
      </c>
      <c r="GO160">
        <f t="shared" si="211"/>
        <v>0</v>
      </c>
      <c r="GP160">
        <f t="shared" si="212"/>
        <v>3320.97</v>
      </c>
      <c r="GR160">
        <v>0</v>
      </c>
      <c r="GS160">
        <v>3</v>
      </c>
      <c r="GT160">
        <v>0</v>
      </c>
      <c r="GU160" t="s">
        <v>3</v>
      </c>
      <c r="GV160">
        <f t="shared" si="213"/>
        <v>0</v>
      </c>
      <c r="GW160">
        <v>1</v>
      </c>
      <c r="GX160">
        <f t="shared" si="214"/>
        <v>0</v>
      </c>
      <c r="HA160">
        <v>0</v>
      </c>
      <c r="HB160">
        <v>0</v>
      </c>
      <c r="HC160">
        <f t="shared" si="215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ROW(EtalonRes!A107)</f>
        <v>107</v>
      </c>
      <c r="E161" t="s">
        <v>230</v>
      </c>
      <c r="F161" t="s">
        <v>168</v>
      </c>
      <c r="G161" t="s">
        <v>169</v>
      </c>
      <c r="H161" t="s">
        <v>40</v>
      </c>
      <c r="I161">
        <f>ROUND(1/10,9)</f>
        <v>0.1</v>
      </c>
      <c r="J161">
        <v>0</v>
      </c>
      <c r="K161">
        <f>ROUND(1/10,9)</f>
        <v>0.1</v>
      </c>
      <c r="O161">
        <f t="shared" si="187"/>
        <v>317.22000000000003</v>
      </c>
      <c r="P161">
        <f t="shared" si="188"/>
        <v>0.16</v>
      </c>
      <c r="Q161">
        <f t="shared" si="189"/>
        <v>0</v>
      </c>
      <c r="R161">
        <f t="shared" si="190"/>
        <v>0</v>
      </c>
      <c r="S161">
        <f t="shared" si="191"/>
        <v>317.06</v>
      </c>
      <c r="T161">
        <f t="shared" si="192"/>
        <v>0</v>
      </c>
      <c r="U161">
        <f t="shared" si="193"/>
        <v>0.56399999999999995</v>
      </c>
      <c r="V161">
        <f t="shared" si="194"/>
        <v>0</v>
      </c>
      <c r="W161">
        <f t="shared" si="195"/>
        <v>0</v>
      </c>
      <c r="X161">
        <f t="shared" si="196"/>
        <v>221.94</v>
      </c>
      <c r="Y161">
        <f t="shared" si="197"/>
        <v>31.71</v>
      </c>
      <c r="AA161">
        <v>1471988752</v>
      </c>
      <c r="AB161">
        <f t="shared" si="198"/>
        <v>3172.21</v>
      </c>
      <c r="AC161">
        <f>ROUND((ES161),6)</f>
        <v>1.57</v>
      </c>
      <c r="AD161">
        <f>ROUND((((ET161)-(EU161))+AE161),6)</f>
        <v>0</v>
      </c>
      <c r="AE161">
        <f t="shared" ref="AE161:AF163" si="222">ROUND((EU161),6)</f>
        <v>0</v>
      </c>
      <c r="AF161">
        <f t="shared" si="222"/>
        <v>3170.64</v>
      </c>
      <c r="AG161">
        <f t="shared" si="200"/>
        <v>0</v>
      </c>
      <c r="AH161">
        <f t="shared" ref="AH161:AI163" si="223">(EW161)</f>
        <v>5.64</v>
      </c>
      <c r="AI161">
        <f t="shared" si="223"/>
        <v>0</v>
      </c>
      <c r="AJ161">
        <f t="shared" si="202"/>
        <v>0</v>
      </c>
      <c r="AK161">
        <v>3172.21</v>
      </c>
      <c r="AL161">
        <v>1.57</v>
      </c>
      <c r="AM161">
        <v>0</v>
      </c>
      <c r="AN161">
        <v>0</v>
      </c>
      <c r="AO161">
        <v>3170.64</v>
      </c>
      <c r="AP161">
        <v>0</v>
      </c>
      <c r="AQ161">
        <v>5.64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170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203"/>
        <v>317.22000000000003</v>
      </c>
      <c r="CQ161">
        <f t="shared" si="216"/>
        <v>1.57</v>
      </c>
      <c r="CR161">
        <f>((((ET161)*BB161-(EU161)*BS161)+AE161*BS161)*AV161)</f>
        <v>0</v>
      </c>
      <c r="CS161">
        <f t="shared" si="217"/>
        <v>0</v>
      </c>
      <c r="CT161">
        <f t="shared" si="218"/>
        <v>3170.64</v>
      </c>
      <c r="CU161">
        <f t="shared" si="204"/>
        <v>0</v>
      </c>
      <c r="CV161">
        <f t="shared" si="219"/>
        <v>5.64</v>
      </c>
      <c r="CW161">
        <f t="shared" si="205"/>
        <v>0</v>
      </c>
      <c r="CX161">
        <f t="shared" si="206"/>
        <v>0</v>
      </c>
      <c r="CY161">
        <f t="shared" si="220"/>
        <v>221.94200000000001</v>
      </c>
      <c r="CZ161">
        <f t="shared" si="221"/>
        <v>31.706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16987630</v>
      </c>
      <c r="DV161" t="s">
        <v>40</v>
      </c>
      <c r="DW161" t="s">
        <v>40</v>
      </c>
      <c r="DX161">
        <v>10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19</v>
      </c>
      <c r="EH161">
        <v>0</v>
      </c>
      <c r="EI161" t="s">
        <v>3</v>
      </c>
      <c r="EJ161">
        <v>4</v>
      </c>
      <c r="EK161">
        <v>0</v>
      </c>
      <c r="EL161" t="s">
        <v>20</v>
      </c>
      <c r="EM161" t="s">
        <v>21</v>
      </c>
      <c r="EO161" t="s">
        <v>3</v>
      </c>
      <c r="EQ161">
        <v>0</v>
      </c>
      <c r="ER161">
        <v>3172.21</v>
      </c>
      <c r="ES161">
        <v>1.57</v>
      </c>
      <c r="ET161">
        <v>0</v>
      </c>
      <c r="EU161">
        <v>0</v>
      </c>
      <c r="EV161">
        <v>3170.64</v>
      </c>
      <c r="EW161">
        <v>5.64</v>
      </c>
      <c r="EX161">
        <v>0</v>
      </c>
      <c r="EY161">
        <v>0</v>
      </c>
      <c r="FQ161">
        <v>0</v>
      </c>
      <c r="FR161">
        <f t="shared" si="207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-867235619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 t="shared" si="208"/>
        <v>0</v>
      </c>
      <c r="GM161">
        <f t="shared" si="209"/>
        <v>570.87</v>
      </c>
      <c r="GN161">
        <f t="shared" si="210"/>
        <v>0</v>
      </c>
      <c r="GO161">
        <f t="shared" si="211"/>
        <v>0</v>
      </c>
      <c r="GP161">
        <f t="shared" si="212"/>
        <v>570.87</v>
      </c>
      <c r="GR161">
        <v>0</v>
      </c>
      <c r="GS161">
        <v>3</v>
      </c>
      <c r="GT161">
        <v>0</v>
      </c>
      <c r="GU161" t="s">
        <v>3</v>
      </c>
      <c r="GV161">
        <f t="shared" si="213"/>
        <v>0</v>
      </c>
      <c r="GW161">
        <v>1</v>
      </c>
      <c r="GX161">
        <f t="shared" si="214"/>
        <v>0</v>
      </c>
      <c r="HA161">
        <v>0</v>
      </c>
      <c r="HB161">
        <v>0</v>
      </c>
      <c r="HC161">
        <f t="shared" si="215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18</v>
      </c>
      <c r="B162">
        <v>1</v>
      </c>
      <c r="E162" t="s">
        <v>231</v>
      </c>
      <c r="F162" t="s">
        <v>172</v>
      </c>
      <c r="G162" t="s">
        <v>173</v>
      </c>
      <c r="H162" t="s">
        <v>31</v>
      </c>
      <c r="I162">
        <f>I161*J162</f>
        <v>4</v>
      </c>
      <c r="J162">
        <v>40</v>
      </c>
      <c r="K162">
        <v>20</v>
      </c>
      <c r="O162">
        <f t="shared" si="187"/>
        <v>1552.24</v>
      </c>
      <c r="P162">
        <f t="shared" si="188"/>
        <v>1552.24</v>
      </c>
      <c r="Q162">
        <f t="shared" si="189"/>
        <v>0</v>
      </c>
      <c r="R162">
        <f t="shared" si="190"/>
        <v>0</v>
      </c>
      <c r="S162">
        <f t="shared" si="191"/>
        <v>0</v>
      </c>
      <c r="T162">
        <f t="shared" si="192"/>
        <v>0</v>
      </c>
      <c r="U162">
        <f t="shared" si="193"/>
        <v>0</v>
      </c>
      <c r="V162">
        <f t="shared" si="194"/>
        <v>0</v>
      </c>
      <c r="W162">
        <f t="shared" si="195"/>
        <v>0</v>
      </c>
      <c r="X162">
        <f t="shared" si="196"/>
        <v>0</v>
      </c>
      <c r="Y162">
        <f t="shared" si="197"/>
        <v>0</v>
      </c>
      <c r="AA162">
        <v>1471988752</v>
      </c>
      <c r="AB162">
        <f t="shared" si="198"/>
        <v>388.06</v>
      </c>
      <c r="AC162">
        <f>ROUND((ES162),6)</f>
        <v>388.06</v>
      </c>
      <c r="AD162">
        <f>ROUND((((ET162)-(EU162))+AE162),6)</f>
        <v>0</v>
      </c>
      <c r="AE162">
        <f t="shared" si="222"/>
        <v>0</v>
      </c>
      <c r="AF162">
        <f t="shared" si="222"/>
        <v>0</v>
      </c>
      <c r="AG162">
        <f t="shared" si="200"/>
        <v>0</v>
      </c>
      <c r="AH162">
        <f t="shared" si="223"/>
        <v>0</v>
      </c>
      <c r="AI162">
        <f t="shared" si="223"/>
        <v>0</v>
      </c>
      <c r="AJ162">
        <f t="shared" si="202"/>
        <v>0</v>
      </c>
      <c r="AK162">
        <v>388.06</v>
      </c>
      <c r="AL162">
        <v>388.06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3</v>
      </c>
      <c r="BI162">
        <v>4</v>
      </c>
      <c r="BJ162" t="s">
        <v>174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203"/>
        <v>1552.24</v>
      </c>
      <c r="CQ162">
        <f t="shared" si="216"/>
        <v>388.06</v>
      </c>
      <c r="CR162">
        <f>((((ET162)*BB162-(EU162)*BS162)+AE162*BS162)*AV162)</f>
        <v>0</v>
      </c>
      <c r="CS162">
        <f t="shared" si="217"/>
        <v>0</v>
      </c>
      <c r="CT162">
        <f t="shared" si="218"/>
        <v>0</v>
      </c>
      <c r="CU162">
        <f t="shared" si="204"/>
        <v>0</v>
      </c>
      <c r="CV162">
        <f t="shared" si="219"/>
        <v>0</v>
      </c>
      <c r="CW162">
        <f t="shared" si="205"/>
        <v>0</v>
      </c>
      <c r="CX162">
        <f t="shared" si="206"/>
        <v>0</v>
      </c>
      <c r="CY162">
        <f t="shared" si="220"/>
        <v>0</v>
      </c>
      <c r="CZ162">
        <f t="shared" si="221"/>
        <v>0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16987630</v>
      </c>
      <c r="DV162" t="s">
        <v>31</v>
      </c>
      <c r="DW162" t="s">
        <v>31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19</v>
      </c>
      <c r="EH162">
        <v>0</v>
      </c>
      <c r="EI162" t="s">
        <v>3</v>
      </c>
      <c r="EJ162">
        <v>4</v>
      </c>
      <c r="EK162">
        <v>0</v>
      </c>
      <c r="EL162" t="s">
        <v>20</v>
      </c>
      <c r="EM162" t="s">
        <v>21</v>
      </c>
      <c r="EO162" t="s">
        <v>3</v>
      </c>
      <c r="EQ162">
        <v>0</v>
      </c>
      <c r="ER162">
        <v>388.06</v>
      </c>
      <c r="ES162">
        <v>388.06</v>
      </c>
      <c r="ET162">
        <v>0</v>
      </c>
      <c r="EU162">
        <v>0</v>
      </c>
      <c r="EV162">
        <v>0</v>
      </c>
      <c r="EW162">
        <v>0</v>
      </c>
      <c r="EX162">
        <v>0</v>
      </c>
      <c r="FQ162">
        <v>0</v>
      </c>
      <c r="FR162">
        <f t="shared" si="207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-679759304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208"/>
        <v>0</v>
      </c>
      <c r="GM162">
        <f t="shared" si="209"/>
        <v>1552.24</v>
      </c>
      <c r="GN162">
        <f t="shared" si="210"/>
        <v>0</v>
      </c>
      <c r="GO162">
        <f t="shared" si="211"/>
        <v>0</v>
      </c>
      <c r="GP162">
        <f t="shared" si="212"/>
        <v>1552.24</v>
      </c>
      <c r="GR162">
        <v>0</v>
      </c>
      <c r="GS162">
        <v>3</v>
      </c>
      <c r="GT162">
        <v>0</v>
      </c>
      <c r="GU162" t="s">
        <v>3</v>
      </c>
      <c r="GV162">
        <f t="shared" si="213"/>
        <v>0</v>
      </c>
      <c r="GW162">
        <v>1</v>
      </c>
      <c r="GX162">
        <f t="shared" si="214"/>
        <v>0</v>
      </c>
      <c r="HA162">
        <v>0</v>
      </c>
      <c r="HB162">
        <v>0</v>
      </c>
      <c r="HC162">
        <f t="shared" si="215"/>
        <v>0</v>
      </c>
      <c r="HE162" t="s">
        <v>3</v>
      </c>
      <c r="HF162" t="s">
        <v>3</v>
      </c>
      <c r="HM162" t="s">
        <v>117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D163">
        <f>ROW(EtalonRes!A108)</f>
        <v>108</v>
      </c>
      <c r="E163" t="s">
        <v>232</v>
      </c>
      <c r="F163" t="s">
        <v>140</v>
      </c>
      <c r="G163" t="s">
        <v>141</v>
      </c>
      <c r="H163" t="s">
        <v>40</v>
      </c>
      <c r="I163">
        <f>ROUND(2/10,9)</f>
        <v>0.2</v>
      </c>
      <c r="J163">
        <v>0</v>
      </c>
      <c r="K163">
        <f>ROUND(2/10,9)</f>
        <v>0.2</v>
      </c>
      <c r="O163">
        <f t="shared" si="187"/>
        <v>113.62</v>
      </c>
      <c r="P163">
        <f t="shared" si="188"/>
        <v>0</v>
      </c>
      <c r="Q163">
        <f t="shared" si="189"/>
        <v>0</v>
      </c>
      <c r="R163">
        <f t="shared" si="190"/>
        <v>0</v>
      </c>
      <c r="S163">
        <f t="shared" si="191"/>
        <v>113.62</v>
      </c>
      <c r="T163">
        <f t="shared" si="192"/>
        <v>0</v>
      </c>
      <c r="U163">
        <f t="shared" si="193"/>
        <v>0.18400000000000002</v>
      </c>
      <c r="V163">
        <f t="shared" si="194"/>
        <v>0</v>
      </c>
      <c r="W163">
        <f t="shared" si="195"/>
        <v>0</v>
      </c>
      <c r="X163">
        <f t="shared" si="196"/>
        <v>79.53</v>
      </c>
      <c r="Y163">
        <f t="shared" si="197"/>
        <v>11.36</v>
      </c>
      <c r="AA163">
        <v>1471988752</v>
      </c>
      <c r="AB163">
        <f t="shared" si="198"/>
        <v>568.09</v>
      </c>
      <c r="AC163">
        <f>ROUND((ES163),6)</f>
        <v>0</v>
      </c>
      <c r="AD163">
        <f>ROUND((((ET163)-(EU163))+AE163),6)</f>
        <v>0</v>
      </c>
      <c r="AE163">
        <f t="shared" si="222"/>
        <v>0</v>
      </c>
      <c r="AF163">
        <f t="shared" si="222"/>
        <v>568.09</v>
      </c>
      <c r="AG163">
        <f t="shared" si="200"/>
        <v>0</v>
      </c>
      <c r="AH163">
        <f t="shared" si="223"/>
        <v>0.92</v>
      </c>
      <c r="AI163">
        <f t="shared" si="223"/>
        <v>0</v>
      </c>
      <c r="AJ163">
        <f t="shared" si="202"/>
        <v>0</v>
      </c>
      <c r="AK163">
        <v>568.09</v>
      </c>
      <c r="AL163">
        <v>0</v>
      </c>
      <c r="AM163">
        <v>0</v>
      </c>
      <c r="AN163">
        <v>0</v>
      </c>
      <c r="AO163">
        <v>568.09</v>
      </c>
      <c r="AP163">
        <v>0</v>
      </c>
      <c r="AQ163">
        <v>0.92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142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203"/>
        <v>113.62</v>
      </c>
      <c r="CQ163">
        <f t="shared" si="216"/>
        <v>0</v>
      </c>
      <c r="CR163">
        <f>((((ET163)*BB163-(EU163)*BS163)+AE163*BS163)*AV163)</f>
        <v>0</v>
      </c>
      <c r="CS163">
        <f t="shared" si="217"/>
        <v>0</v>
      </c>
      <c r="CT163">
        <f t="shared" si="218"/>
        <v>568.09</v>
      </c>
      <c r="CU163">
        <f t="shared" si="204"/>
        <v>0</v>
      </c>
      <c r="CV163">
        <f t="shared" si="219"/>
        <v>0.92</v>
      </c>
      <c r="CW163">
        <f t="shared" si="205"/>
        <v>0</v>
      </c>
      <c r="CX163">
        <f t="shared" si="206"/>
        <v>0</v>
      </c>
      <c r="CY163">
        <f t="shared" si="220"/>
        <v>79.534000000000006</v>
      </c>
      <c r="CZ163">
        <f t="shared" si="221"/>
        <v>11.362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16987630</v>
      </c>
      <c r="DV163" t="s">
        <v>40</v>
      </c>
      <c r="DW163" t="s">
        <v>40</v>
      </c>
      <c r="DX163">
        <v>10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19</v>
      </c>
      <c r="EH163">
        <v>0</v>
      </c>
      <c r="EI163" t="s">
        <v>3</v>
      </c>
      <c r="EJ163">
        <v>4</v>
      </c>
      <c r="EK163">
        <v>0</v>
      </c>
      <c r="EL163" t="s">
        <v>20</v>
      </c>
      <c r="EM163" t="s">
        <v>21</v>
      </c>
      <c r="EO163" t="s">
        <v>3</v>
      </c>
      <c r="EQ163">
        <v>0</v>
      </c>
      <c r="ER163">
        <v>568.09</v>
      </c>
      <c r="ES163">
        <v>0</v>
      </c>
      <c r="ET163">
        <v>0</v>
      </c>
      <c r="EU163">
        <v>0</v>
      </c>
      <c r="EV163">
        <v>568.09</v>
      </c>
      <c r="EW163">
        <v>0.92</v>
      </c>
      <c r="EX163">
        <v>0</v>
      </c>
      <c r="EY163">
        <v>0</v>
      </c>
      <c r="FQ163">
        <v>0</v>
      </c>
      <c r="FR163">
        <f t="shared" si="207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2082338734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</v>
      </c>
      <c r="GL163">
        <f t="shared" si="208"/>
        <v>0</v>
      </c>
      <c r="GM163">
        <f t="shared" si="209"/>
        <v>204.51</v>
      </c>
      <c r="GN163">
        <f t="shared" si="210"/>
        <v>0</v>
      </c>
      <c r="GO163">
        <f t="shared" si="211"/>
        <v>0</v>
      </c>
      <c r="GP163">
        <f t="shared" si="212"/>
        <v>204.51</v>
      </c>
      <c r="GR163">
        <v>0</v>
      </c>
      <c r="GS163">
        <v>3</v>
      </c>
      <c r="GT163">
        <v>0</v>
      </c>
      <c r="GU163" t="s">
        <v>3</v>
      </c>
      <c r="GV163">
        <f t="shared" si="213"/>
        <v>0</v>
      </c>
      <c r="GW163">
        <v>1</v>
      </c>
      <c r="GX163">
        <f t="shared" si="214"/>
        <v>0</v>
      </c>
      <c r="HA163">
        <v>0</v>
      </c>
      <c r="HB163">
        <v>0</v>
      </c>
      <c r="HC163">
        <f t="shared" si="215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ROW(EtalonRes!A109)</f>
        <v>109</v>
      </c>
      <c r="E164" t="s">
        <v>3</v>
      </c>
      <c r="F164" t="s">
        <v>22</v>
      </c>
      <c r="G164" t="s">
        <v>23</v>
      </c>
      <c r="H164" t="s">
        <v>17</v>
      </c>
      <c r="I164">
        <f>ROUND((8+8+16)*0.25*0.1/100,9)</f>
        <v>8.0000000000000002E-3</v>
      </c>
      <c r="J164">
        <v>0</v>
      </c>
      <c r="K164">
        <f>ROUND((8+8+16)*0.25*0.1/100,9)</f>
        <v>8.0000000000000002E-3</v>
      </c>
      <c r="O164">
        <f t="shared" si="187"/>
        <v>16.190000000000001</v>
      </c>
      <c r="P164">
        <f t="shared" si="188"/>
        <v>0</v>
      </c>
      <c r="Q164">
        <f t="shared" si="189"/>
        <v>0</v>
      </c>
      <c r="R164">
        <f t="shared" si="190"/>
        <v>0</v>
      </c>
      <c r="S164">
        <f t="shared" si="191"/>
        <v>16.190000000000001</v>
      </c>
      <c r="T164">
        <f t="shared" si="192"/>
        <v>0</v>
      </c>
      <c r="U164">
        <f t="shared" si="193"/>
        <v>2.8800000000000003E-2</v>
      </c>
      <c r="V164">
        <f t="shared" si="194"/>
        <v>0</v>
      </c>
      <c r="W164">
        <f t="shared" si="195"/>
        <v>0</v>
      </c>
      <c r="X164">
        <f t="shared" si="196"/>
        <v>11.33</v>
      </c>
      <c r="Y164">
        <f t="shared" si="197"/>
        <v>1.62</v>
      </c>
      <c r="AA164">
        <v>-1</v>
      </c>
      <c r="AB164">
        <f t="shared" si="198"/>
        <v>2023.8</v>
      </c>
      <c r="AC164">
        <f>ROUND(((ES164*4)),6)</f>
        <v>0</v>
      </c>
      <c r="AD164">
        <f>ROUND(((((ET164*4))-((EU164*4)))+AE164),6)</f>
        <v>0</v>
      </c>
      <c r="AE164">
        <f>ROUND(((EU164*4)),6)</f>
        <v>0</v>
      </c>
      <c r="AF164">
        <f>ROUND(((EV164*4)),6)</f>
        <v>2023.8</v>
      </c>
      <c r="AG164">
        <f t="shared" si="200"/>
        <v>0</v>
      </c>
      <c r="AH164">
        <f>((EW164*4))</f>
        <v>3.6</v>
      </c>
      <c r="AI164">
        <f>((EX164*4))</f>
        <v>0</v>
      </c>
      <c r="AJ164">
        <f t="shared" si="202"/>
        <v>0</v>
      </c>
      <c r="AK164">
        <v>505.95</v>
      </c>
      <c r="AL164">
        <v>0</v>
      </c>
      <c r="AM164">
        <v>0</v>
      </c>
      <c r="AN164">
        <v>0</v>
      </c>
      <c r="AO164">
        <v>505.95</v>
      </c>
      <c r="AP164">
        <v>0</v>
      </c>
      <c r="AQ164">
        <v>0.9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24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203"/>
        <v>16.190000000000001</v>
      </c>
      <c r="CQ164">
        <f t="shared" si="216"/>
        <v>0</v>
      </c>
      <c r="CR164">
        <f>(((((ET164*4))*BB164-((EU164*4))*BS164)+AE164*BS164)*AV164)</f>
        <v>0</v>
      </c>
      <c r="CS164">
        <f t="shared" si="217"/>
        <v>0</v>
      </c>
      <c r="CT164">
        <f t="shared" si="218"/>
        <v>2023.8</v>
      </c>
      <c r="CU164">
        <f t="shared" si="204"/>
        <v>0</v>
      </c>
      <c r="CV164">
        <f t="shared" si="219"/>
        <v>3.6</v>
      </c>
      <c r="CW164">
        <f t="shared" si="205"/>
        <v>0</v>
      </c>
      <c r="CX164">
        <f t="shared" si="206"/>
        <v>0</v>
      </c>
      <c r="CY164">
        <f t="shared" si="220"/>
        <v>11.333000000000002</v>
      </c>
      <c r="CZ164">
        <f t="shared" si="221"/>
        <v>1.619</v>
      </c>
      <c r="DC164" t="s">
        <v>3</v>
      </c>
      <c r="DD164" t="s">
        <v>25</v>
      </c>
      <c r="DE164" t="s">
        <v>25</v>
      </c>
      <c r="DF164" t="s">
        <v>25</v>
      </c>
      <c r="DG164" t="s">
        <v>25</v>
      </c>
      <c r="DH164" t="s">
        <v>3</v>
      </c>
      <c r="DI164" t="s">
        <v>25</v>
      </c>
      <c r="DJ164" t="s">
        <v>25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1003</v>
      </c>
      <c r="DV164" t="s">
        <v>17</v>
      </c>
      <c r="DW164" t="s">
        <v>17</v>
      </c>
      <c r="DX164">
        <v>100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19</v>
      </c>
      <c r="EH164">
        <v>0</v>
      </c>
      <c r="EI164" t="s">
        <v>3</v>
      </c>
      <c r="EJ164">
        <v>4</v>
      </c>
      <c r="EK164">
        <v>0</v>
      </c>
      <c r="EL164" t="s">
        <v>20</v>
      </c>
      <c r="EM164" t="s">
        <v>21</v>
      </c>
      <c r="EO164" t="s">
        <v>3</v>
      </c>
      <c r="EQ164">
        <v>1024</v>
      </c>
      <c r="ER164">
        <v>505.95</v>
      </c>
      <c r="ES164">
        <v>0</v>
      </c>
      <c r="ET164">
        <v>0</v>
      </c>
      <c r="EU164">
        <v>0</v>
      </c>
      <c r="EV164">
        <v>505.95</v>
      </c>
      <c r="EW164">
        <v>0.9</v>
      </c>
      <c r="EX164">
        <v>0</v>
      </c>
      <c r="EY164">
        <v>0</v>
      </c>
      <c r="FQ164">
        <v>0</v>
      </c>
      <c r="FR164">
        <f t="shared" si="207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-341239612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si="208"/>
        <v>0</v>
      </c>
      <c r="GM164">
        <f t="shared" si="209"/>
        <v>29.14</v>
      </c>
      <c r="GN164">
        <f t="shared" si="210"/>
        <v>0</v>
      </c>
      <c r="GO164">
        <f t="shared" si="211"/>
        <v>0</v>
      </c>
      <c r="GP164">
        <f t="shared" si="212"/>
        <v>29.14</v>
      </c>
      <c r="GR164">
        <v>0</v>
      </c>
      <c r="GS164">
        <v>3</v>
      </c>
      <c r="GT164">
        <v>0</v>
      </c>
      <c r="GU164" t="s">
        <v>3</v>
      </c>
      <c r="GV164">
        <f t="shared" si="213"/>
        <v>0</v>
      </c>
      <c r="GW164">
        <v>1</v>
      </c>
      <c r="GX164">
        <f t="shared" si="214"/>
        <v>0</v>
      </c>
      <c r="HA164">
        <v>0</v>
      </c>
      <c r="HB164">
        <v>0</v>
      </c>
      <c r="HC164">
        <f t="shared" si="215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D165">
        <f>ROW(EtalonRes!A110)</f>
        <v>110</v>
      </c>
      <c r="E165" t="s">
        <v>3</v>
      </c>
      <c r="F165" t="s">
        <v>26</v>
      </c>
      <c r="G165" t="s">
        <v>27</v>
      </c>
      <c r="H165" t="s">
        <v>17</v>
      </c>
      <c r="I165">
        <f>ROUND((8+8+16)*0.75*0.1/100,9)</f>
        <v>2.4E-2</v>
      </c>
      <c r="J165">
        <v>0</v>
      </c>
      <c r="K165">
        <f>ROUND((8+8+16)*0.75*0.1/100,9)</f>
        <v>2.4E-2</v>
      </c>
      <c r="O165">
        <f t="shared" si="187"/>
        <v>142.47999999999999</v>
      </c>
      <c r="P165">
        <f t="shared" si="188"/>
        <v>0</v>
      </c>
      <c r="Q165">
        <f t="shared" si="189"/>
        <v>0</v>
      </c>
      <c r="R165">
        <f t="shared" si="190"/>
        <v>0</v>
      </c>
      <c r="S165">
        <f t="shared" si="191"/>
        <v>142.47999999999999</v>
      </c>
      <c r="T165">
        <f t="shared" si="192"/>
        <v>0</v>
      </c>
      <c r="U165">
        <f t="shared" si="193"/>
        <v>0.25344</v>
      </c>
      <c r="V165">
        <f t="shared" si="194"/>
        <v>0</v>
      </c>
      <c r="W165">
        <f t="shared" si="195"/>
        <v>0</v>
      </c>
      <c r="X165">
        <f t="shared" si="196"/>
        <v>99.74</v>
      </c>
      <c r="Y165">
        <f t="shared" si="197"/>
        <v>14.25</v>
      </c>
      <c r="AA165">
        <v>-1</v>
      </c>
      <c r="AB165">
        <f t="shared" si="198"/>
        <v>5936.52</v>
      </c>
      <c r="AC165">
        <f>ROUND(((ES165*4)),6)</f>
        <v>0</v>
      </c>
      <c r="AD165">
        <f>ROUND(((((ET165*4))-((EU165*4)))+AE165),6)</f>
        <v>0</v>
      </c>
      <c r="AE165">
        <f>ROUND(((EU165*4)),6)</f>
        <v>0</v>
      </c>
      <c r="AF165">
        <f>ROUND(((EV165*4)),6)</f>
        <v>5936.52</v>
      </c>
      <c r="AG165">
        <f t="shared" si="200"/>
        <v>0</v>
      </c>
      <c r="AH165">
        <f>((EW165*4))</f>
        <v>10.56</v>
      </c>
      <c r="AI165">
        <f>((EX165*4))</f>
        <v>0</v>
      </c>
      <c r="AJ165">
        <f t="shared" si="202"/>
        <v>0</v>
      </c>
      <c r="AK165">
        <v>1484.13</v>
      </c>
      <c r="AL165">
        <v>0</v>
      </c>
      <c r="AM165">
        <v>0</v>
      </c>
      <c r="AN165">
        <v>0</v>
      </c>
      <c r="AO165">
        <v>1484.13</v>
      </c>
      <c r="AP165">
        <v>0</v>
      </c>
      <c r="AQ165">
        <v>2.64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28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203"/>
        <v>142.47999999999999</v>
      </c>
      <c r="CQ165">
        <f t="shared" si="216"/>
        <v>0</v>
      </c>
      <c r="CR165">
        <f>(((((ET165*4))*BB165-((EU165*4))*BS165)+AE165*BS165)*AV165)</f>
        <v>0</v>
      </c>
      <c r="CS165">
        <f t="shared" si="217"/>
        <v>0</v>
      </c>
      <c r="CT165">
        <f t="shared" si="218"/>
        <v>5936.52</v>
      </c>
      <c r="CU165">
        <f t="shared" si="204"/>
        <v>0</v>
      </c>
      <c r="CV165">
        <f t="shared" si="219"/>
        <v>10.56</v>
      </c>
      <c r="CW165">
        <f t="shared" si="205"/>
        <v>0</v>
      </c>
      <c r="CX165">
        <f t="shared" si="206"/>
        <v>0</v>
      </c>
      <c r="CY165">
        <f t="shared" si="220"/>
        <v>99.73599999999999</v>
      </c>
      <c r="CZ165">
        <f t="shared" si="221"/>
        <v>14.247999999999999</v>
      </c>
      <c r="DC165" t="s">
        <v>3</v>
      </c>
      <c r="DD165" t="s">
        <v>25</v>
      </c>
      <c r="DE165" t="s">
        <v>25</v>
      </c>
      <c r="DF165" t="s">
        <v>25</v>
      </c>
      <c r="DG165" t="s">
        <v>25</v>
      </c>
      <c r="DH165" t="s">
        <v>3</v>
      </c>
      <c r="DI165" t="s">
        <v>25</v>
      </c>
      <c r="DJ165" t="s">
        <v>25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1003</v>
      </c>
      <c r="DV165" t="s">
        <v>17</v>
      </c>
      <c r="DW165" t="s">
        <v>17</v>
      </c>
      <c r="DX165">
        <v>100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19</v>
      </c>
      <c r="EH165">
        <v>0</v>
      </c>
      <c r="EI165" t="s">
        <v>3</v>
      </c>
      <c r="EJ165">
        <v>4</v>
      </c>
      <c r="EK165">
        <v>0</v>
      </c>
      <c r="EL165" t="s">
        <v>20</v>
      </c>
      <c r="EM165" t="s">
        <v>21</v>
      </c>
      <c r="EO165" t="s">
        <v>3</v>
      </c>
      <c r="EQ165">
        <v>1024</v>
      </c>
      <c r="ER165">
        <v>1484.13</v>
      </c>
      <c r="ES165">
        <v>0</v>
      </c>
      <c r="ET165">
        <v>0</v>
      </c>
      <c r="EU165">
        <v>0</v>
      </c>
      <c r="EV165">
        <v>1484.13</v>
      </c>
      <c r="EW165">
        <v>2.64</v>
      </c>
      <c r="EX165">
        <v>0</v>
      </c>
      <c r="EY165">
        <v>0</v>
      </c>
      <c r="FQ165">
        <v>0</v>
      </c>
      <c r="FR165">
        <f t="shared" si="207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1802126441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</v>
      </c>
      <c r="GL165">
        <f t="shared" si="208"/>
        <v>0</v>
      </c>
      <c r="GM165">
        <f t="shared" si="209"/>
        <v>256.47000000000003</v>
      </c>
      <c r="GN165">
        <f t="shared" si="210"/>
        <v>0</v>
      </c>
      <c r="GO165">
        <f t="shared" si="211"/>
        <v>0</v>
      </c>
      <c r="GP165">
        <f t="shared" si="212"/>
        <v>256.47000000000003</v>
      </c>
      <c r="GR165">
        <v>0</v>
      </c>
      <c r="GS165">
        <v>3</v>
      </c>
      <c r="GT165">
        <v>0</v>
      </c>
      <c r="GU165" t="s">
        <v>3</v>
      </c>
      <c r="GV165">
        <f t="shared" si="213"/>
        <v>0</v>
      </c>
      <c r="GW165">
        <v>1</v>
      </c>
      <c r="GX165">
        <f t="shared" si="214"/>
        <v>0</v>
      </c>
      <c r="HA165">
        <v>0</v>
      </c>
      <c r="HB165">
        <v>0</v>
      </c>
      <c r="HC165">
        <f t="shared" si="215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D166">
        <f>ROW(EtalonRes!A116)</f>
        <v>116</v>
      </c>
      <c r="E166" t="s">
        <v>3</v>
      </c>
      <c r="F166" t="s">
        <v>233</v>
      </c>
      <c r="G166" t="s">
        <v>234</v>
      </c>
      <c r="H166" t="s">
        <v>17</v>
      </c>
      <c r="I166">
        <f>ROUND((8+8+16)/100,9)</f>
        <v>0.32</v>
      </c>
      <c r="J166">
        <v>0</v>
      </c>
      <c r="K166">
        <f>ROUND((8+8+16)/100,9)</f>
        <v>0.32</v>
      </c>
      <c r="O166">
        <f t="shared" si="187"/>
        <v>2585.63</v>
      </c>
      <c r="P166">
        <f t="shared" si="188"/>
        <v>71.58</v>
      </c>
      <c r="Q166">
        <f t="shared" si="189"/>
        <v>16.22</v>
      </c>
      <c r="R166">
        <f t="shared" si="190"/>
        <v>0.26</v>
      </c>
      <c r="S166">
        <f t="shared" si="191"/>
        <v>2497.83</v>
      </c>
      <c r="T166">
        <f t="shared" si="192"/>
        <v>0</v>
      </c>
      <c r="U166">
        <f t="shared" si="193"/>
        <v>3.4048000000000003</v>
      </c>
      <c r="V166">
        <f t="shared" si="194"/>
        <v>0</v>
      </c>
      <c r="W166">
        <f t="shared" si="195"/>
        <v>0</v>
      </c>
      <c r="X166">
        <f t="shared" si="196"/>
        <v>1748.48</v>
      </c>
      <c r="Y166">
        <f t="shared" si="197"/>
        <v>249.78</v>
      </c>
      <c r="AA166">
        <v>-1</v>
      </c>
      <c r="AB166">
        <f t="shared" si="198"/>
        <v>8080.11</v>
      </c>
      <c r="AC166">
        <f>ROUND((ES166),6)</f>
        <v>223.69</v>
      </c>
      <c r="AD166">
        <f>ROUND((((ET166)-(EU166))+AE166),6)</f>
        <v>50.7</v>
      </c>
      <c r="AE166">
        <f>ROUND((EU166),6)</f>
        <v>0.81</v>
      </c>
      <c r="AF166">
        <f>ROUND((EV166),6)</f>
        <v>7805.72</v>
      </c>
      <c r="AG166">
        <f t="shared" si="200"/>
        <v>0</v>
      </c>
      <c r="AH166">
        <f>(EW166)</f>
        <v>10.64</v>
      </c>
      <c r="AI166">
        <f>(EX166)</f>
        <v>0</v>
      </c>
      <c r="AJ166">
        <f t="shared" si="202"/>
        <v>0</v>
      </c>
      <c r="AK166">
        <v>8080.11</v>
      </c>
      <c r="AL166">
        <v>223.69</v>
      </c>
      <c r="AM166">
        <v>50.7</v>
      </c>
      <c r="AN166">
        <v>0.81</v>
      </c>
      <c r="AO166">
        <v>7805.72</v>
      </c>
      <c r="AP166">
        <v>0</v>
      </c>
      <c r="AQ166">
        <v>10.64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235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203"/>
        <v>2585.63</v>
      </c>
      <c r="CQ166">
        <f t="shared" si="216"/>
        <v>223.69</v>
      </c>
      <c r="CR166">
        <f>((((ET166)*BB166-(EU166)*BS166)+AE166*BS166)*AV166)</f>
        <v>50.7</v>
      </c>
      <c r="CS166">
        <f t="shared" si="217"/>
        <v>0.81</v>
      </c>
      <c r="CT166">
        <f t="shared" si="218"/>
        <v>7805.72</v>
      </c>
      <c r="CU166">
        <f t="shared" si="204"/>
        <v>0</v>
      </c>
      <c r="CV166">
        <f t="shared" si="219"/>
        <v>10.64</v>
      </c>
      <c r="CW166">
        <f t="shared" si="205"/>
        <v>0</v>
      </c>
      <c r="CX166">
        <f t="shared" si="206"/>
        <v>0</v>
      </c>
      <c r="CY166">
        <f t="shared" si="220"/>
        <v>1748.481</v>
      </c>
      <c r="CZ166">
        <f t="shared" si="221"/>
        <v>249.78299999999999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1003</v>
      </c>
      <c r="DV166" t="s">
        <v>17</v>
      </c>
      <c r="DW166" t="s">
        <v>17</v>
      </c>
      <c r="DX166">
        <v>100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19</v>
      </c>
      <c r="EH166">
        <v>0</v>
      </c>
      <c r="EI166" t="s">
        <v>3</v>
      </c>
      <c r="EJ166">
        <v>4</v>
      </c>
      <c r="EK166">
        <v>0</v>
      </c>
      <c r="EL166" t="s">
        <v>20</v>
      </c>
      <c r="EM166" t="s">
        <v>21</v>
      </c>
      <c r="EO166" t="s">
        <v>3</v>
      </c>
      <c r="EQ166">
        <v>1024</v>
      </c>
      <c r="ER166">
        <v>8080.11</v>
      </c>
      <c r="ES166">
        <v>223.69</v>
      </c>
      <c r="ET166">
        <v>50.7</v>
      </c>
      <c r="EU166">
        <v>0.81</v>
      </c>
      <c r="EV166">
        <v>7805.72</v>
      </c>
      <c r="EW166">
        <v>10.64</v>
      </c>
      <c r="EX166">
        <v>0</v>
      </c>
      <c r="EY166">
        <v>0</v>
      </c>
      <c r="FQ166">
        <v>0</v>
      </c>
      <c r="FR166">
        <f t="shared" si="207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279930794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0.28000000000000003</v>
      </c>
      <c r="GL166">
        <f t="shared" si="208"/>
        <v>0</v>
      </c>
      <c r="GM166">
        <f t="shared" si="209"/>
        <v>4584.17</v>
      </c>
      <c r="GN166">
        <f t="shared" si="210"/>
        <v>0</v>
      </c>
      <c r="GO166">
        <f t="shared" si="211"/>
        <v>0</v>
      </c>
      <c r="GP166">
        <f t="shared" si="212"/>
        <v>4584.17</v>
      </c>
      <c r="GR166">
        <v>0</v>
      </c>
      <c r="GS166">
        <v>3</v>
      </c>
      <c r="GT166">
        <v>0</v>
      </c>
      <c r="GU166" t="s">
        <v>3</v>
      </c>
      <c r="GV166">
        <f t="shared" si="213"/>
        <v>0</v>
      </c>
      <c r="GW166">
        <v>1</v>
      </c>
      <c r="GX166">
        <f t="shared" si="214"/>
        <v>0</v>
      </c>
      <c r="HA166">
        <v>0</v>
      </c>
      <c r="HB166">
        <v>0</v>
      </c>
      <c r="HC166">
        <f t="shared" si="215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ROW(EtalonRes!A119)</f>
        <v>119</v>
      </c>
      <c r="E167" t="s">
        <v>3</v>
      </c>
      <c r="F167" t="s">
        <v>236</v>
      </c>
      <c r="G167" t="s">
        <v>237</v>
      </c>
      <c r="H167" t="s">
        <v>17</v>
      </c>
      <c r="I167">
        <f>ROUND((8+8+16)/100,9)</f>
        <v>0.32</v>
      </c>
      <c r="J167">
        <v>0</v>
      </c>
      <c r="K167">
        <f>ROUND((8+8+16)/100,9)</f>
        <v>0.32</v>
      </c>
      <c r="O167">
        <f t="shared" si="187"/>
        <v>802.88</v>
      </c>
      <c r="P167">
        <f t="shared" si="188"/>
        <v>64.900000000000006</v>
      </c>
      <c r="Q167">
        <f t="shared" si="189"/>
        <v>7.52</v>
      </c>
      <c r="R167">
        <f t="shared" si="190"/>
        <v>0.02</v>
      </c>
      <c r="S167">
        <f t="shared" si="191"/>
        <v>730.46</v>
      </c>
      <c r="T167">
        <f t="shared" si="192"/>
        <v>0</v>
      </c>
      <c r="U167">
        <f t="shared" si="193"/>
        <v>1.1008</v>
      </c>
      <c r="V167">
        <f t="shared" si="194"/>
        <v>0</v>
      </c>
      <c r="W167">
        <f t="shared" si="195"/>
        <v>0</v>
      </c>
      <c r="X167">
        <f t="shared" si="196"/>
        <v>511.32</v>
      </c>
      <c r="Y167">
        <f t="shared" si="197"/>
        <v>73.05</v>
      </c>
      <c r="AA167">
        <v>-1</v>
      </c>
      <c r="AB167">
        <f t="shared" si="198"/>
        <v>2509.0100000000002</v>
      </c>
      <c r="AC167">
        <f>ROUND((ES167),6)</f>
        <v>202.8</v>
      </c>
      <c r="AD167">
        <f>ROUND((((ET167)-(EU167))+AE167),6)</f>
        <v>23.51</v>
      </c>
      <c r="AE167">
        <f>ROUND((EU167),6)</f>
        <v>7.0000000000000007E-2</v>
      </c>
      <c r="AF167">
        <f>ROUND((EV167),6)</f>
        <v>2282.6999999999998</v>
      </c>
      <c r="AG167">
        <f t="shared" si="200"/>
        <v>0</v>
      </c>
      <c r="AH167">
        <f>(EW167)</f>
        <v>3.44</v>
      </c>
      <c r="AI167">
        <f>(EX167)</f>
        <v>0</v>
      </c>
      <c r="AJ167">
        <f t="shared" si="202"/>
        <v>0</v>
      </c>
      <c r="AK167">
        <v>2509.0100000000002</v>
      </c>
      <c r="AL167">
        <v>202.8</v>
      </c>
      <c r="AM167">
        <v>23.51</v>
      </c>
      <c r="AN167">
        <v>7.0000000000000007E-2</v>
      </c>
      <c r="AO167">
        <v>2282.6999999999998</v>
      </c>
      <c r="AP167">
        <v>0</v>
      </c>
      <c r="AQ167">
        <v>3.44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238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203"/>
        <v>802.88</v>
      </c>
      <c r="CQ167">
        <f t="shared" si="216"/>
        <v>202.8</v>
      </c>
      <c r="CR167">
        <f>((((ET167)*BB167-(EU167)*BS167)+AE167*BS167)*AV167)</f>
        <v>23.51</v>
      </c>
      <c r="CS167">
        <f t="shared" si="217"/>
        <v>7.0000000000000007E-2</v>
      </c>
      <c r="CT167">
        <f t="shared" si="218"/>
        <v>2282.6999999999998</v>
      </c>
      <c r="CU167">
        <f t="shared" si="204"/>
        <v>0</v>
      </c>
      <c r="CV167">
        <f t="shared" si="219"/>
        <v>3.44</v>
      </c>
      <c r="CW167">
        <f t="shared" si="205"/>
        <v>0</v>
      </c>
      <c r="CX167">
        <f t="shared" si="206"/>
        <v>0</v>
      </c>
      <c r="CY167">
        <f t="shared" si="220"/>
        <v>511.32200000000006</v>
      </c>
      <c r="CZ167">
        <f t="shared" si="221"/>
        <v>73.046000000000006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1003</v>
      </c>
      <c r="DV167" t="s">
        <v>17</v>
      </c>
      <c r="DW167" t="s">
        <v>17</v>
      </c>
      <c r="DX167">
        <v>100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19</v>
      </c>
      <c r="EH167">
        <v>0</v>
      </c>
      <c r="EI167" t="s">
        <v>3</v>
      </c>
      <c r="EJ167">
        <v>4</v>
      </c>
      <c r="EK167">
        <v>0</v>
      </c>
      <c r="EL167" t="s">
        <v>20</v>
      </c>
      <c r="EM167" t="s">
        <v>21</v>
      </c>
      <c r="EO167" t="s">
        <v>3</v>
      </c>
      <c r="EQ167">
        <v>1024</v>
      </c>
      <c r="ER167">
        <v>2509.0100000000002</v>
      </c>
      <c r="ES167">
        <v>202.8</v>
      </c>
      <c r="ET167">
        <v>23.51</v>
      </c>
      <c r="EU167">
        <v>7.0000000000000007E-2</v>
      </c>
      <c r="EV167">
        <v>2282.6999999999998</v>
      </c>
      <c r="EW167">
        <v>3.44</v>
      </c>
      <c r="EX167">
        <v>0</v>
      </c>
      <c r="EY167">
        <v>0</v>
      </c>
      <c r="FQ167">
        <v>0</v>
      </c>
      <c r="FR167">
        <f t="shared" si="207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-1929809553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0.02</v>
      </c>
      <c r="GL167">
        <f t="shared" si="208"/>
        <v>0</v>
      </c>
      <c r="GM167">
        <f t="shared" si="209"/>
        <v>1387.27</v>
      </c>
      <c r="GN167">
        <f t="shared" si="210"/>
        <v>0</v>
      </c>
      <c r="GO167">
        <f t="shared" si="211"/>
        <v>0</v>
      </c>
      <c r="GP167">
        <f t="shared" si="212"/>
        <v>1387.27</v>
      </c>
      <c r="GR167">
        <v>0</v>
      </c>
      <c r="GS167">
        <v>3</v>
      </c>
      <c r="GT167">
        <v>0</v>
      </c>
      <c r="GU167" t="s">
        <v>3</v>
      </c>
      <c r="GV167">
        <f t="shared" si="213"/>
        <v>0</v>
      </c>
      <c r="GW167">
        <v>1</v>
      </c>
      <c r="GX167">
        <f t="shared" si="214"/>
        <v>0</v>
      </c>
      <c r="HA167">
        <v>0</v>
      </c>
      <c r="HB167">
        <v>0</v>
      </c>
      <c r="HC167">
        <f t="shared" si="215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9" spans="1:245" x14ac:dyDescent="0.2">
      <c r="A169" s="2">
        <v>51</v>
      </c>
      <c r="B169" s="2">
        <f>B107</f>
        <v>1</v>
      </c>
      <c r="C169" s="2">
        <f>A107</f>
        <v>5</v>
      </c>
      <c r="D169" s="2">
        <f>ROW(A107)</f>
        <v>107</v>
      </c>
      <c r="E169" s="2"/>
      <c r="F169" s="2" t="str">
        <f>IF(F107&lt;&gt;"",F107,"")</f>
        <v>Новый подраздел</v>
      </c>
      <c r="G169" s="2" t="str">
        <f>IF(G107&lt;&gt;"",G107,"")</f>
        <v>2.2 Индивидуальный тепловой пункт</v>
      </c>
      <c r="H169" s="2">
        <v>0</v>
      </c>
      <c r="I169" s="2"/>
      <c r="J169" s="2"/>
      <c r="K169" s="2"/>
      <c r="L169" s="2"/>
      <c r="M169" s="2"/>
      <c r="N169" s="2"/>
      <c r="O169" s="2">
        <f t="shared" ref="O169:T169" si="224">ROUND(AB169,2)</f>
        <v>48082.27</v>
      </c>
      <c r="P169" s="2">
        <f t="shared" si="224"/>
        <v>4541.76</v>
      </c>
      <c r="Q169" s="2">
        <f t="shared" si="224"/>
        <v>3439.92</v>
      </c>
      <c r="R169" s="2">
        <f t="shared" si="224"/>
        <v>2181.16</v>
      </c>
      <c r="S169" s="2">
        <f t="shared" si="224"/>
        <v>40100.589999999997</v>
      </c>
      <c r="T169" s="2">
        <f t="shared" si="224"/>
        <v>0</v>
      </c>
      <c r="U169" s="2">
        <f>AH169</f>
        <v>58.011999999999993</v>
      </c>
      <c r="V169" s="2">
        <f>AI169</f>
        <v>0</v>
      </c>
      <c r="W169" s="2">
        <f>ROUND(AJ169,2)</f>
        <v>0</v>
      </c>
      <c r="X169" s="2">
        <f>ROUND(AK169,2)</f>
        <v>28070.43</v>
      </c>
      <c r="Y169" s="2">
        <f>ROUND(AL169,2)</f>
        <v>4010.07</v>
      </c>
      <c r="Z169" s="2"/>
      <c r="AA169" s="2"/>
      <c r="AB169" s="2">
        <f>ROUND(SUMIF(AA111:AA167,"=1471988752",O111:O167),2)</f>
        <v>48082.27</v>
      </c>
      <c r="AC169" s="2">
        <f>ROUND(SUMIF(AA111:AA167,"=1471988752",P111:P167),2)</f>
        <v>4541.76</v>
      </c>
      <c r="AD169" s="2">
        <f>ROUND(SUMIF(AA111:AA167,"=1471988752",Q111:Q167),2)</f>
        <v>3439.92</v>
      </c>
      <c r="AE169" s="2">
        <f>ROUND(SUMIF(AA111:AA167,"=1471988752",R111:R167),2)</f>
        <v>2181.16</v>
      </c>
      <c r="AF169" s="2">
        <f>ROUND(SUMIF(AA111:AA167,"=1471988752",S111:S167),2)</f>
        <v>40100.589999999997</v>
      </c>
      <c r="AG169" s="2">
        <f>ROUND(SUMIF(AA111:AA167,"=1471988752",T111:T167),2)</f>
        <v>0</v>
      </c>
      <c r="AH169" s="2">
        <f>SUMIF(AA111:AA167,"=1471988752",U111:U167)</f>
        <v>58.011999999999993</v>
      </c>
      <c r="AI169" s="2">
        <f>SUMIF(AA111:AA167,"=1471988752",V111:V167)</f>
        <v>0</v>
      </c>
      <c r="AJ169" s="2">
        <f>ROUND(SUMIF(AA111:AA167,"=1471988752",W111:W167),2)</f>
        <v>0</v>
      </c>
      <c r="AK169" s="2">
        <f>ROUND(SUMIF(AA111:AA167,"=1471988752",X111:X167),2)</f>
        <v>28070.43</v>
      </c>
      <c r="AL169" s="2">
        <f>ROUND(SUMIF(AA111:AA167,"=1471988752",Y111:Y167),2)</f>
        <v>4010.07</v>
      </c>
      <c r="AM169" s="2"/>
      <c r="AN169" s="2"/>
      <c r="AO169" s="2">
        <f t="shared" ref="AO169:BD169" si="225">ROUND(BX169,2)</f>
        <v>0</v>
      </c>
      <c r="AP169" s="2">
        <f t="shared" si="225"/>
        <v>0</v>
      </c>
      <c r="AQ169" s="2">
        <f t="shared" si="225"/>
        <v>0</v>
      </c>
      <c r="AR169" s="2">
        <f t="shared" si="225"/>
        <v>82518.429999999993</v>
      </c>
      <c r="AS169" s="2">
        <f t="shared" si="225"/>
        <v>0</v>
      </c>
      <c r="AT169" s="2">
        <f t="shared" si="225"/>
        <v>0</v>
      </c>
      <c r="AU169" s="2">
        <f t="shared" si="225"/>
        <v>82518.429999999993</v>
      </c>
      <c r="AV169" s="2">
        <f t="shared" si="225"/>
        <v>4541.76</v>
      </c>
      <c r="AW169" s="2">
        <f t="shared" si="225"/>
        <v>4541.76</v>
      </c>
      <c r="AX169" s="2">
        <f t="shared" si="225"/>
        <v>0</v>
      </c>
      <c r="AY169" s="2">
        <f t="shared" si="225"/>
        <v>4541.76</v>
      </c>
      <c r="AZ169" s="2">
        <f t="shared" si="225"/>
        <v>0</v>
      </c>
      <c r="BA169" s="2">
        <f t="shared" si="225"/>
        <v>0</v>
      </c>
      <c r="BB169" s="2">
        <f t="shared" si="225"/>
        <v>0</v>
      </c>
      <c r="BC169" s="2">
        <f t="shared" si="225"/>
        <v>0</v>
      </c>
      <c r="BD169" s="2">
        <f t="shared" si="225"/>
        <v>0</v>
      </c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>
        <f>ROUND(SUMIF(AA111:AA167,"=1471988752",FQ111:FQ167),2)</f>
        <v>0</v>
      </c>
      <c r="BY169" s="2">
        <f>ROUND(SUMIF(AA111:AA167,"=1471988752",FR111:FR167),2)</f>
        <v>0</v>
      </c>
      <c r="BZ169" s="2">
        <f>ROUND(SUMIF(AA111:AA167,"=1471988752",GL111:GL167),2)</f>
        <v>0</v>
      </c>
      <c r="CA169" s="2">
        <f>ROUND(SUMIF(AA111:AA167,"=1471988752",GM111:GM167),2)</f>
        <v>82518.429999999993</v>
      </c>
      <c r="CB169" s="2">
        <f>ROUND(SUMIF(AA111:AA167,"=1471988752",GN111:GN167),2)</f>
        <v>0</v>
      </c>
      <c r="CC169" s="2">
        <f>ROUND(SUMIF(AA111:AA167,"=1471988752",GO111:GO167),2)</f>
        <v>0</v>
      </c>
      <c r="CD169" s="2">
        <f>ROUND(SUMIF(AA111:AA167,"=1471988752",GP111:GP167),2)</f>
        <v>82518.429999999993</v>
      </c>
      <c r="CE169" s="2">
        <f>AC169-BX169</f>
        <v>4541.76</v>
      </c>
      <c r="CF169" s="2">
        <f>AC169-BY169</f>
        <v>4541.76</v>
      </c>
      <c r="CG169" s="2">
        <f>BX169-BZ169</f>
        <v>0</v>
      </c>
      <c r="CH169" s="2">
        <f>AC169-BX169-BY169+BZ169</f>
        <v>4541.76</v>
      </c>
      <c r="CI169" s="2">
        <f>BY169-BZ169</f>
        <v>0</v>
      </c>
      <c r="CJ169" s="2">
        <f>ROUND(SUMIF(AA111:AA167,"=1471988752",GX111:GX167),2)</f>
        <v>0</v>
      </c>
      <c r="CK169" s="2">
        <f>ROUND(SUMIF(AA111:AA167,"=1471988752",GY111:GY167),2)</f>
        <v>0</v>
      </c>
      <c r="CL169" s="2">
        <f>ROUND(SUMIF(AA111:AA167,"=1471988752",GZ111:GZ167),2)</f>
        <v>0</v>
      </c>
      <c r="CM169" s="2">
        <f>ROUND(SUMIF(AA111:AA167,"=1471988752",HD111:HD167),2)</f>
        <v>0</v>
      </c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>
        <v>0</v>
      </c>
    </row>
    <row r="171" spans="1:245" x14ac:dyDescent="0.2">
      <c r="A171" s="4">
        <v>50</v>
      </c>
      <c r="B171" s="4">
        <v>0</v>
      </c>
      <c r="C171" s="4">
        <v>0</v>
      </c>
      <c r="D171" s="4">
        <v>1</v>
      </c>
      <c r="E171" s="4">
        <v>201</v>
      </c>
      <c r="F171" s="4">
        <f>ROUND(Source!O169,O171)</f>
        <v>48082.27</v>
      </c>
      <c r="G171" s="4" t="s">
        <v>45</v>
      </c>
      <c r="H171" s="4" t="s">
        <v>46</v>
      </c>
      <c r="I171" s="4"/>
      <c r="J171" s="4"/>
      <c r="K171" s="4">
        <v>201</v>
      </c>
      <c r="L171" s="4">
        <v>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48082.27</v>
      </c>
      <c r="X171" s="4">
        <v>1</v>
      </c>
      <c r="Y171" s="4">
        <v>48082.27</v>
      </c>
      <c r="Z171" s="4"/>
      <c r="AA171" s="4"/>
      <c r="AB171" s="4"/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202</v>
      </c>
      <c r="F172" s="4">
        <f>ROUND(Source!P169,O172)</f>
        <v>4541.76</v>
      </c>
      <c r="G172" s="4" t="s">
        <v>47</v>
      </c>
      <c r="H172" s="4" t="s">
        <v>48</v>
      </c>
      <c r="I172" s="4"/>
      <c r="J172" s="4"/>
      <c r="K172" s="4">
        <v>202</v>
      </c>
      <c r="L172" s="4">
        <v>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4541.76</v>
      </c>
      <c r="X172" s="4">
        <v>1</v>
      </c>
      <c r="Y172" s="4">
        <v>4541.76</v>
      </c>
      <c r="Z172" s="4"/>
      <c r="AA172" s="4"/>
      <c r="AB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222</v>
      </c>
      <c r="F173" s="4">
        <f>ROUND(Source!AO169,O173)</f>
        <v>0</v>
      </c>
      <c r="G173" s="4" t="s">
        <v>49</v>
      </c>
      <c r="H173" s="4" t="s">
        <v>50</v>
      </c>
      <c r="I173" s="4"/>
      <c r="J173" s="4"/>
      <c r="K173" s="4">
        <v>222</v>
      </c>
      <c r="L173" s="4">
        <v>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225</v>
      </c>
      <c r="F174" s="4">
        <f>ROUND(Source!AV169,O174)</f>
        <v>4541.76</v>
      </c>
      <c r="G174" s="4" t="s">
        <v>51</v>
      </c>
      <c r="H174" s="4" t="s">
        <v>52</v>
      </c>
      <c r="I174" s="4"/>
      <c r="J174" s="4"/>
      <c r="K174" s="4">
        <v>225</v>
      </c>
      <c r="L174" s="4">
        <v>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4541.76</v>
      </c>
      <c r="X174" s="4">
        <v>1</v>
      </c>
      <c r="Y174" s="4">
        <v>4541.76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226</v>
      </c>
      <c r="F175" s="4">
        <f>ROUND(Source!AW169,O175)</f>
        <v>4541.76</v>
      </c>
      <c r="G175" s="4" t="s">
        <v>53</v>
      </c>
      <c r="H175" s="4" t="s">
        <v>54</v>
      </c>
      <c r="I175" s="4"/>
      <c r="J175" s="4"/>
      <c r="K175" s="4">
        <v>226</v>
      </c>
      <c r="L175" s="4">
        <v>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4541.76</v>
      </c>
      <c r="X175" s="4">
        <v>1</v>
      </c>
      <c r="Y175" s="4">
        <v>4541.76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227</v>
      </c>
      <c r="F176" s="4">
        <f>ROUND(Source!AX169,O176)</f>
        <v>0</v>
      </c>
      <c r="G176" s="4" t="s">
        <v>55</v>
      </c>
      <c r="H176" s="4" t="s">
        <v>56</v>
      </c>
      <c r="I176" s="4"/>
      <c r="J176" s="4"/>
      <c r="K176" s="4">
        <v>227</v>
      </c>
      <c r="L176" s="4">
        <v>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228</v>
      </c>
      <c r="F177" s="4">
        <f>ROUND(Source!AY169,O177)</f>
        <v>4541.76</v>
      </c>
      <c r="G177" s="4" t="s">
        <v>57</v>
      </c>
      <c r="H177" s="4" t="s">
        <v>58</v>
      </c>
      <c r="I177" s="4"/>
      <c r="J177" s="4"/>
      <c r="K177" s="4">
        <v>228</v>
      </c>
      <c r="L177" s="4">
        <v>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4541.76</v>
      </c>
      <c r="X177" s="4">
        <v>1</v>
      </c>
      <c r="Y177" s="4">
        <v>4541.76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216</v>
      </c>
      <c r="F178" s="4">
        <f>ROUND(Source!AP169,O178)</f>
        <v>0</v>
      </c>
      <c r="G178" s="4" t="s">
        <v>59</v>
      </c>
      <c r="H178" s="4" t="s">
        <v>60</v>
      </c>
      <c r="I178" s="4"/>
      <c r="J178" s="4"/>
      <c r="K178" s="4">
        <v>216</v>
      </c>
      <c r="L178" s="4">
        <v>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223</v>
      </c>
      <c r="F179" s="4">
        <f>ROUND(Source!AQ169,O179)</f>
        <v>0</v>
      </c>
      <c r="G179" s="4" t="s">
        <v>61</v>
      </c>
      <c r="H179" s="4" t="s">
        <v>62</v>
      </c>
      <c r="I179" s="4"/>
      <c r="J179" s="4"/>
      <c r="K179" s="4">
        <v>223</v>
      </c>
      <c r="L179" s="4">
        <v>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229</v>
      </c>
      <c r="F180" s="4">
        <f>ROUND(Source!AZ169,O180)</f>
        <v>0</v>
      </c>
      <c r="G180" s="4" t="s">
        <v>63</v>
      </c>
      <c r="H180" s="4" t="s">
        <v>64</v>
      </c>
      <c r="I180" s="4"/>
      <c r="J180" s="4"/>
      <c r="K180" s="4">
        <v>229</v>
      </c>
      <c r="L180" s="4">
        <v>10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203</v>
      </c>
      <c r="F181" s="4">
        <f>ROUND(Source!Q169,O181)</f>
        <v>3439.92</v>
      </c>
      <c r="G181" s="4" t="s">
        <v>65</v>
      </c>
      <c r="H181" s="4" t="s">
        <v>66</v>
      </c>
      <c r="I181" s="4"/>
      <c r="J181" s="4"/>
      <c r="K181" s="4">
        <v>203</v>
      </c>
      <c r="L181" s="4">
        <v>11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3439.92</v>
      </c>
      <c r="X181" s="4">
        <v>1</v>
      </c>
      <c r="Y181" s="4">
        <v>3439.92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231</v>
      </c>
      <c r="F182" s="4">
        <f>ROUND(Source!BB169,O182)</f>
        <v>0</v>
      </c>
      <c r="G182" s="4" t="s">
        <v>67</v>
      </c>
      <c r="H182" s="4" t="s">
        <v>68</v>
      </c>
      <c r="I182" s="4"/>
      <c r="J182" s="4"/>
      <c r="K182" s="4">
        <v>231</v>
      </c>
      <c r="L182" s="4">
        <v>12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204</v>
      </c>
      <c r="F183" s="4">
        <f>ROUND(Source!R169,O183)</f>
        <v>2181.16</v>
      </c>
      <c r="G183" s="4" t="s">
        <v>69</v>
      </c>
      <c r="H183" s="4" t="s">
        <v>70</v>
      </c>
      <c r="I183" s="4"/>
      <c r="J183" s="4"/>
      <c r="K183" s="4">
        <v>204</v>
      </c>
      <c r="L183" s="4">
        <v>13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2181.16</v>
      </c>
      <c r="X183" s="4">
        <v>1</v>
      </c>
      <c r="Y183" s="4">
        <v>2181.16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205</v>
      </c>
      <c r="F184" s="4">
        <f>ROUND(Source!S169,O184)</f>
        <v>40100.589999999997</v>
      </c>
      <c r="G184" s="4" t="s">
        <v>71</v>
      </c>
      <c r="H184" s="4" t="s">
        <v>72</v>
      </c>
      <c r="I184" s="4"/>
      <c r="J184" s="4"/>
      <c r="K184" s="4">
        <v>205</v>
      </c>
      <c r="L184" s="4">
        <v>14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40100.589999999997</v>
      </c>
      <c r="X184" s="4">
        <v>1</v>
      </c>
      <c r="Y184" s="4">
        <v>40100.589999999997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232</v>
      </c>
      <c r="F185" s="4">
        <f>ROUND(Source!BC169,O185)</f>
        <v>0</v>
      </c>
      <c r="G185" s="4" t="s">
        <v>73</v>
      </c>
      <c r="H185" s="4" t="s">
        <v>74</v>
      </c>
      <c r="I185" s="4"/>
      <c r="J185" s="4"/>
      <c r="K185" s="4">
        <v>232</v>
      </c>
      <c r="L185" s="4">
        <v>15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214</v>
      </c>
      <c r="F186" s="4">
        <f>ROUND(Source!AS169,O186)</f>
        <v>0</v>
      </c>
      <c r="G186" s="4" t="s">
        <v>75</v>
      </c>
      <c r="H186" s="4" t="s">
        <v>76</v>
      </c>
      <c r="I186" s="4"/>
      <c r="J186" s="4"/>
      <c r="K186" s="4">
        <v>214</v>
      </c>
      <c r="L186" s="4">
        <v>16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215</v>
      </c>
      <c r="F187" s="4">
        <f>ROUND(Source!AT169,O187)</f>
        <v>0</v>
      </c>
      <c r="G187" s="4" t="s">
        <v>77</v>
      </c>
      <c r="H187" s="4" t="s">
        <v>78</v>
      </c>
      <c r="I187" s="4"/>
      <c r="J187" s="4"/>
      <c r="K187" s="4">
        <v>215</v>
      </c>
      <c r="L187" s="4">
        <v>17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217</v>
      </c>
      <c r="F188" s="4">
        <f>ROUND(Source!AU169,O188)</f>
        <v>82518.429999999993</v>
      </c>
      <c r="G188" s="4" t="s">
        <v>79</v>
      </c>
      <c r="H188" s="4" t="s">
        <v>80</v>
      </c>
      <c r="I188" s="4"/>
      <c r="J188" s="4"/>
      <c r="K188" s="4">
        <v>217</v>
      </c>
      <c r="L188" s="4">
        <v>18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82518.429999999993</v>
      </c>
      <c r="X188" s="4">
        <v>1</v>
      </c>
      <c r="Y188" s="4">
        <v>82518.429999999993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230</v>
      </c>
      <c r="F189" s="4">
        <f>ROUND(Source!BA169,O189)</f>
        <v>0</v>
      </c>
      <c r="G189" s="4" t="s">
        <v>81</v>
      </c>
      <c r="H189" s="4" t="s">
        <v>82</v>
      </c>
      <c r="I189" s="4"/>
      <c r="J189" s="4"/>
      <c r="K189" s="4">
        <v>230</v>
      </c>
      <c r="L189" s="4">
        <v>19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206</v>
      </c>
      <c r="F190" s="4">
        <f>ROUND(Source!T169,O190)</f>
        <v>0</v>
      </c>
      <c r="G190" s="4" t="s">
        <v>83</v>
      </c>
      <c r="H190" s="4" t="s">
        <v>84</v>
      </c>
      <c r="I190" s="4"/>
      <c r="J190" s="4"/>
      <c r="K190" s="4">
        <v>206</v>
      </c>
      <c r="L190" s="4">
        <v>20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207</v>
      </c>
      <c r="F191" s="4">
        <f>Source!U169</f>
        <v>58.011999999999993</v>
      </c>
      <c r="G191" s="4" t="s">
        <v>85</v>
      </c>
      <c r="H191" s="4" t="s">
        <v>86</v>
      </c>
      <c r="I191" s="4"/>
      <c r="J191" s="4"/>
      <c r="K191" s="4">
        <v>207</v>
      </c>
      <c r="L191" s="4">
        <v>21</v>
      </c>
      <c r="M191" s="4">
        <v>3</v>
      </c>
      <c r="N191" s="4" t="s">
        <v>3</v>
      </c>
      <c r="O191" s="4">
        <v>-1</v>
      </c>
      <c r="P191" s="4"/>
      <c r="Q191" s="4"/>
      <c r="R191" s="4"/>
      <c r="S191" s="4"/>
      <c r="T191" s="4"/>
      <c r="U191" s="4"/>
      <c r="V191" s="4"/>
      <c r="W191" s="4">
        <v>58.011999999999986</v>
      </c>
      <c r="X191" s="4">
        <v>1</v>
      </c>
      <c r="Y191" s="4">
        <v>58.011999999999986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208</v>
      </c>
      <c r="F192" s="4">
        <f>Source!V169</f>
        <v>0</v>
      </c>
      <c r="G192" s="4" t="s">
        <v>87</v>
      </c>
      <c r="H192" s="4" t="s">
        <v>88</v>
      </c>
      <c r="I192" s="4"/>
      <c r="J192" s="4"/>
      <c r="K192" s="4">
        <v>208</v>
      </c>
      <c r="L192" s="4">
        <v>22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209</v>
      </c>
      <c r="F193" s="4">
        <f>ROUND(Source!W169,O193)</f>
        <v>0</v>
      </c>
      <c r="G193" s="4" t="s">
        <v>89</v>
      </c>
      <c r="H193" s="4" t="s">
        <v>90</v>
      </c>
      <c r="I193" s="4"/>
      <c r="J193" s="4"/>
      <c r="K193" s="4">
        <v>209</v>
      </c>
      <c r="L193" s="4">
        <v>23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233</v>
      </c>
      <c r="F194" s="4">
        <f>ROUND(Source!BD169,O194)</f>
        <v>0</v>
      </c>
      <c r="G194" s="4" t="s">
        <v>91</v>
      </c>
      <c r="H194" s="4" t="s">
        <v>92</v>
      </c>
      <c r="I194" s="4"/>
      <c r="J194" s="4"/>
      <c r="K194" s="4">
        <v>233</v>
      </c>
      <c r="L194" s="4">
        <v>24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210</v>
      </c>
      <c r="F195" s="4">
        <f>ROUND(Source!X169,O195)</f>
        <v>28070.43</v>
      </c>
      <c r="G195" s="4" t="s">
        <v>93</v>
      </c>
      <c r="H195" s="4" t="s">
        <v>94</v>
      </c>
      <c r="I195" s="4"/>
      <c r="J195" s="4"/>
      <c r="K195" s="4">
        <v>210</v>
      </c>
      <c r="L195" s="4">
        <v>25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28070.43</v>
      </c>
      <c r="X195" s="4">
        <v>1</v>
      </c>
      <c r="Y195" s="4">
        <v>28070.43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211</v>
      </c>
      <c r="F196" s="4">
        <f>ROUND(Source!Y169,O196)</f>
        <v>4010.07</v>
      </c>
      <c r="G196" s="4" t="s">
        <v>95</v>
      </c>
      <c r="H196" s="4" t="s">
        <v>96</v>
      </c>
      <c r="I196" s="4"/>
      <c r="J196" s="4"/>
      <c r="K196" s="4">
        <v>211</v>
      </c>
      <c r="L196" s="4">
        <v>26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4010.07</v>
      </c>
      <c r="X196" s="4">
        <v>1</v>
      </c>
      <c r="Y196" s="4">
        <v>4010.07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224</v>
      </c>
      <c r="F197" s="4">
        <f>ROUND(Source!AR169,O197)</f>
        <v>82518.429999999993</v>
      </c>
      <c r="G197" s="4" t="s">
        <v>97</v>
      </c>
      <c r="H197" s="4" t="s">
        <v>98</v>
      </c>
      <c r="I197" s="4"/>
      <c r="J197" s="4"/>
      <c r="K197" s="4">
        <v>224</v>
      </c>
      <c r="L197" s="4">
        <v>27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82518.429999999993</v>
      </c>
      <c r="X197" s="4">
        <v>1</v>
      </c>
      <c r="Y197" s="4">
        <v>82518.429999999993</v>
      </c>
      <c r="Z197" s="4"/>
      <c r="AA197" s="4"/>
      <c r="AB197" s="4"/>
    </row>
    <row r="199" spans="1:206" x14ac:dyDescent="0.2">
      <c r="A199" s="2">
        <v>51</v>
      </c>
      <c r="B199" s="2">
        <f>B66</f>
        <v>1</v>
      </c>
      <c r="C199" s="2">
        <f>A66</f>
        <v>4</v>
      </c>
      <c r="D199" s="2">
        <f>ROW(A66)</f>
        <v>66</v>
      </c>
      <c r="E199" s="2"/>
      <c r="F199" s="2" t="str">
        <f>IF(F66&lt;&gt;"",F66,"")</f>
        <v>Новый раздел</v>
      </c>
      <c r="G199" s="2" t="str">
        <f>IF(G66&lt;&gt;"",G66,"")</f>
        <v>Раздел: 2. Внутренние сети отопления и ИТП</v>
      </c>
      <c r="H199" s="2">
        <v>0</v>
      </c>
      <c r="I199" s="2"/>
      <c r="J199" s="2"/>
      <c r="K199" s="2"/>
      <c r="L199" s="2"/>
      <c r="M199" s="2"/>
      <c r="N199" s="2"/>
      <c r="O199" s="2">
        <f t="shared" ref="O199:T199" si="226">ROUND(O77+O169+AB199,2)</f>
        <v>52718.720000000001</v>
      </c>
      <c r="P199" s="2">
        <f t="shared" si="226"/>
        <v>4551.84</v>
      </c>
      <c r="Q199" s="2">
        <f t="shared" si="226"/>
        <v>6525.46</v>
      </c>
      <c r="R199" s="2">
        <f t="shared" si="226"/>
        <v>4137.6099999999997</v>
      </c>
      <c r="S199" s="2">
        <f t="shared" si="226"/>
        <v>41641.42</v>
      </c>
      <c r="T199" s="2">
        <f t="shared" si="226"/>
        <v>0</v>
      </c>
      <c r="U199" s="2">
        <f>U77+U169+AH199</f>
        <v>61.051999999999992</v>
      </c>
      <c r="V199" s="2">
        <f>V77+V169+AI199</f>
        <v>0</v>
      </c>
      <c r="W199" s="2">
        <f>ROUND(W77+W169+AJ199,2)</f>
        <v>0</v>
      </c>
      <c r="X199" s="2">
        <f>ROUND(X77+X169+AK199,2)</f>
        <v>29149.01</v>
      </c>
      <c r="Y199" s="2">
        <f>ROUND(Y77+Y169+AL199,2)</f>
        <v>4164.1499999999996</v>
      </c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>
        <f t="shared" ref="AO199:BD199" si="227">ROUND(AO77+AO169+BX199,2)</f>
        <v>0</v>
      </c>
      <c r="AP199" s="2">
        <f t="shared" si="227"/>
        <v>0</v>
      </c>
      <c r="AQ199" s="2">
        <f t="shared" si="227"/>
        <v>0</v>
      </c>
      <c r="AR199" s="2">
        <f t="shared" si="227"/>
        <v>90500.51</v>
      </c>
      <c r="AS199" s="2">
        <f t="shared" si="227"/>
        <v>0</v>
      </c>
      <c r="AT199" s="2">
        <f t="shared" si="227"/>
        <v>0</v>
      </c>
      <c r="AU199" s="2">
        <f t="shared" si="227"/>
        <v>90500.51</v>
      </c>
      <c r="AV199" s="2">
        <f t="shared" si="227"/>
        <v>4551.84</v>
      </c>
      <c r="AW199" s="2">
        <f t="shared" si="227"/>
        <v>4551.84</v>
      </c>
      <c r="AX199" s="2">
        <f t="shared" si="227"/>
        <v>0</v>
      </c>
      <c r="AY199" s="2">
        <f t="shared" si="227"/>
        <v>4551.84</v>
      </c>
      <c r="AZ199" s="2">
        <f t="shared" si="227"/>
        <v>0</v>
      </c>
      <c r="BA199" s="2">
        <f t="shared" si="227"/>
        <v>0</v>
      </c>
      <c r="BB199" s="2">
        <f t="shared" si="227"/>
        <v>0</v>
      </c>
      <c r="BC199" s="2">
        <f t="shared" si="227"/>
        <v>0</v>
      </c>
      <c r="BD199" s="2">
        <f t="shared" si="227"/>
        <v>0</v>
      </c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>
        <v>0</v>
      </c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201</v>
      </c>
      <c r="F201" s="4">
        <f>ROUND(Source!O199,O201)</f>
        <v>52718.720000000001</v>
      </c>
      <c r="G201" s="4" t="s">
        <v>45</v>
      </c>
      <c r="H201" s="4" t="s">
        <v>46</v>
      </c>
      <c r="I201" s="4"/>
      <c r="J201" s="4"/>
      <c r="K201" s="4">
        <v>201</v>
      </c>
      <c r="L201" s="4">
        <v>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52718.720000000001</v>
      </c>
      <c r="X201" s="4">
        <v>1</v>
      </c>
      <c r="Y201" s="4">
        <v>52718.720000000001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202</v>
      </c>
      <c r="F202" s="4">
        <f>ROUND(Source!P199,O202)</f>
        <v>4551.84</v>
      </c>
      <c r="G202" s="4" t="s">
        <v>47</v>
      </c>
      <c r="H202" s="4" t="s">
        <v>48</v>
      </c>
      <c r="I202" s="4"/>
      <c r="J202" s="4"/>
      <c r="K202" s="4">
        <v>202</v>
      </c>
      <c r="L202" s="4">
        <v>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4551.84</v>
      </c>
      <c r="X202" s="4">
        <v>1</v>
      </c>
      <c r="Y202" s="4">
        <v>4551.84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222</v>
      </c>
      <c r="F203" s="4">
        <f>ROUND(Source!AO199,O203)</f>
        <v>0</v>
      </c>
      <c r="G203" s="4" t="s">
        <v>49</v>
      </c>
      <c r="H203" s="4" t="s">
        <v>50</v>
      </c>
      <c r="I203" s="4"/>
      <c r="J203" s="4"/>
      <c r="K203" s="4">
        <v>222</v>
      </c>
      <c r="L203" s="4">
        <v>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225</v>
      </c>
      <c r="F204" s="4">
        <f>ROUND(Source!AV199,O204)</f>
        <v>4551.84</v>
      </c>
      <c r="G204" s="4" t="s">
        <v>51</v>
      </c>
      <c r="H204" s="4" t="s">
        <v>52</v>
      </c>
      <c r="I204" s="4"/>
      <c r="J204" s="4"/>
      <c r="K204" s="4">
        <v>225</v>
      </c>
      <c r="L204" s="4">
        <v>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4551.84</v>
      </c>
      <c r="X204" s="4">
        <v>1</v>
      </c>
      <c r="Y204" s="4">
        <v>4551.84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226</v>
      </c>
      <c r="F205" s="4">
        <f>ROUND(Source!AW199,O205)</f>
        <v>4551.84</v>
      </c>
      <c r="G205" s="4" t="s">
        <v>53</v>
      </c>
      <c r="H205" s="4" t="s">
        <v>54</v>
      </c>
      <c r="I205" s="4"/>
      <c r="J205" s="4"/>
      <c r="K205" s="4">
        <v>226</v>
      </c>
      <c r="L205" s="4">
        <v>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4551.84</v>
      </c>
      <c r="X205" s="4">
        <v>1</v>
      </c>
      <c r="Y205" s="4">
        <v>4551.84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227</v>
      </c>
      <c r="F206" s="4">
        <f>ROUND(Source!AX199,O206)</f>
        <v>0</v>
      </c>
      <c r="G206" s="4" t="s">
        <v>55</v>
      </c>
      <c r="H206" s="4" t="s">
        <v>56</v>
      </c>
      <c r="I206" s="4"/>
      <c r="J206" s="4"/>
      <c r="K206" s="4">
        <v>227</v>
      </c>
      <c r="L206" s="4">
        <v>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228</v>
      </c>
      <c r="F207" s="4">
        <f>ROUND(Source!AY199,O207)</f>
        <v>4551.84</v>
      </c>
      <c r="G207" s="4" t="s">
        <v>57</v>
      </c>
      <c r="H207" s="4" t="s">
        <v>58</v>
      </c>
      <c r="I207" s="4"/>
      <c r="J207" s="4"/>
      <c r="K207" s="4">
        <v>228</v>
      </c>
      <c r="L207" s="4">
        <v>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4551.84</v>
      </c>
      <c r="X207" s="4">
        <v>1</v>
      </c>
      <c r="Y207" s="4">
        <v>4551.84</v>
      </c>
      <c r="Z207" s="4"/>
      <c r="AA207" s="4"/>
      <c r="AB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216</v>
      </c>
      <c r="F208" s="4">
        <f>ROUND(Source!AP199,O208)</f>
        <v>0</v>
      </c>
      <c r="G208" s="4" t="s">
        <v>59</v>
      </c>
      <c r="H208" s="4" t="s">
        <v>60</v>
      </c>
      <c r="I208" s="4"/>
      <c r="J208" s="4"/>
      <c r="K208" s="4">
        <v>216</v>
      </c>
      <c r="L208" s="4">
        <v>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223</v>
      </c>
      <c r="F209" s="4">
        <f>ROUND(Source!AQ199,O209)</f>
        <v>0</v>
      </c>
      <c r="G209" s="4" t="s">
        <v>61</v>
      </c>
      <c r="H209" s="4" t="s">
        <v>62</v>
      </c>
      <c r="I209" s="4"/>
      <c r="J209" s="4"/>
      <c r="K209" s="4">
        <v>223</v>
      </c>
      <c r="L209" s="4">
        <v>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229</v>
      </c>
      <c r="F210" s="4">
        <f>ROUND(Source!AZ199,O210)</f>
        <v>0</v>
      </c>
      <c r="G210" s="4" t="s">
        <v>63</v>
      </c>
      <c r="H210" s="4" t="s">
        <v>64</v>
      </c>
      <c r="I210" s="4"/>
      <c r="J210" s="4"/>
      <c r="K210" s="4">
        <v>229</v>
      </c>
      <c r="L210" s="4">
        <v>10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203</v>
      </c>
      <c r="F211" s="4">
        <f>ROUND(Source!Q199,O211)</f>
        <v>6525.46</v>
      </c>
      <c r="G211" s="4" t="s">
        <v>65</v>
      </c>
      <c r="H211" s="4" t="s">
        <v>66</v>
      </c>
      <c r="I211" s="4"/>
      <c r="J211" s="4"/>
      <c r="K211" s="4">
        <v>203</v>
      </c>
      <c r="L211" s="4">
        <v>11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6525.46</v>
      </c>
      <c r="X211" s="4">
        <v>1</v>
      </c>
      <c r="Y211" s="4">
        <v>6525.46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231</v>
      </c>
      <c r="F212" s="4">
        <f>ROUND(Source!BB199,O212)</f>
        <v>0</v>
      </c>
      <c r="G212" s="4" t="s">
        <v>67</v>
      </c>
      <c r="H212" s="4" t="s">
        <v>68</v>
      </c>
      <c r="I212" s="4"/>
      <c r="J212" s="4"/>
      <c r="K212" s="4">
        <v>231</v>
      </c>
      <c r="L212" s="4">
        <v>12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204</v>
      </c>
      <c r="F213" s="4">
        <f>ROUND(Source!R199,O213)</f>
        <v>4137.6099999999997</v>
      </c>
      <c r="G213" s="4" t="s">
        <v>69</v>
      </c>
      <c r="H213" s="4" t="s">
        <v>70</v>
      </c>
      <c r="I213" s="4"/>
      <c r="J213" s="4"/>
      <c r="K213" s="4">
        <v>204</v>
      </c>
      <c r="L213" s="4">
        <v>13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4137.6099999999997</v>
      </c>
      <c r="X213" s="4">
        <v>1</v>
      </c>
      <c r="Y213" s="4">
        <v>4137.6099999999997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205</v>
      </c>
      <c r="F214" s="4">
        <f>ROUND(Source!S199,O214)</f>
        <v>41641.42</v>
      </c>
      <c r="G214" s="4" t="s">
        <v>71</v>
      </c>
      <c r="H214" s="4" t="s">
        <v>72</v>
      </c>
      <c r="I214" s="4"/>
      <c r="J214" s="4"/>
      <c r="K214" s="4">
        <v>205</v>
      </c>
      <c r="L214" s="4">
        <v>14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41641.42</v>
      </c>
      <c r="X214" s="4">
        <v>1</v>
      </c>
      <c r="Y214" s="4">
        <v>41641.42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232</v>
      </c>
      <c r="F215" s="4">
        <f>ROUND(Source!BC199,O215)</f>
        <v>0</v>
      </c>
      <c r="G215" s="4" t="s">
        <v>73</v>
      </c>
      <c r="H215" s="4" t="s">
        <v>74</v>
      </c>
      <c r="I215" s="4"/>
      <c r="J215" s="4"/>
      <c r="K215" s="4">
        <v>232</v>
      </c>
      <c r="L215" s="4">
        <v>15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214</v>
      </c>
      <c r="F216" s="4">
        <f>ROUND(Source!AS199,O216)</f>
        <v>0</v>
      </c>
      <c r="G216" s="4" t="s">
        <v>75</v>
      </c>
      <c r="H216" s="4" t="s">
        <v>76</v>
      </c>
      <c r="I216" s="4"/>
      <c r="J216" s="4"/>
      <c r="K216" s="4">
        <v>214</v>
      </c>
      <c r="L216" s="4">
        <v>16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215</v>
      </c>
      <c r="F217" s="4">
        <f>ROUND(Source!AT199,O217)</f>
        <v>0</v>
      </c>
      <c r="G217" s="4" t="s">
        <v>77</v>
      </c>
      <c r="H217" s="4" t="s">
        <v>78</v>
      </c>
      <c r="I217" s="4"/>
      <c r="J217" s="4"/>
      <c r="K217" s="4">
        <v>215</v>
      </c>
      <c r="L217" s="4">
        <v>17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217</v>
      </c>
      <c r="F218" s="4">
        <f>ROUND(Source!AU199,O218)</f>
        <v>90500.51</v>
      </c>
      <c r="G218" s="4" t="s">
        <v>79</v>
      </c>
      <c r="H218" s="4" t="s">
        <v>80</v>
      </c>
      <c r="I218" s="4"/>
      <c r="J218" s="4"/>
      <c r="K218" s="4">
        <v>217</v>
      </c>
      <c r="L218" s="4">
        <v>18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90500.51</v>
      </c>
      <c r="X218" s="4">
        <v>1</v>
      </c>
      <c r="Y218" s="4">
        <v>90500.51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230</v>
      </c>
      <c r="F219" s="4">
        <f>ROUND(Source!BA199,O219)</f>
        <v>0</v>
      </c>
      <c r="G219" s="4" t="s">
        <v>81</v>
      </c>
      <c r="H219" s="4" t="s">
        <v>82</v>
      </c>
      <c r="I219" s="4"/>
      <c r="J219" s="4"/>
      <c r="K219" s="4">
        <v>230</v>
      </c>
      <c r="L219" s="4">
        <v>19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206</v>
      </c>
      <c r="F220" s="4">
        <f>ROUND(Source!T199,O220)</f>
        <v>0</v>
      </c>
      <c r="G220" s="4" t="s">
        <v>83</v>
      </c>
      <c r="H220" s="4" t="s">
        <v>84</v>
      </c>
      <c r="I220" s="4"/>
      <c r="J220" s="4"/>
      <c r="K220" s="4">
        <v>206</v>
      </c>
      <c r="L220" s="4">
        <v>20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207</v>
      </c>
      <c r="F221" s="4">
        <f>Source!U199</f>
        <v>61.051999999999992</v>
      </c>
      <c r="G221" s="4" t="s">
        <v>85</v>
      </c>
      <c r="H221" s="4" t="s">
        <v>86</v>
      </c>
      <c r="I221" s="4"/>
      <c r="J221" s="4"/>
      <c r="K221" s="4">
        <v>207</v>
      </c>
      <c r="L221" s="4">
        <v>21</v>
      </c>
      <c r="M221" s="4">
        <v>3</v>
      </c>
      <c r="N221" s="4" t="s">
        <v>3</v>
      </c>
      <c r="O221" s="4">
        <v>-1</v>
      </c>
      <c r="P221" s="4"/>
      <c r="Q221" s="4"/>
      <c r="R221" s="4"/>
      <c r="S221" s="4"/>
      <c r="T221" s="4"/>
      <c r="U221" s="4"/>
      <c r="V221" s="4"/>
      <c r="W221" s="4">
        <v>61.051999999999985</v>
      </c>
      <c r="X221" s="4">
        <v>1</v>
      </c>
      <c r="Y221" s="4">
        <v>61.051999999999985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208</v>
      </c>
      <c r="F222" s="4">
        <f>Source!V199</f>
        <v>0</v>
      </c>
      <c r="G222" s="4" t="s">
        <v>87</v>
      </c>
      <c r="H222" s="4" t="s">
        <v>88</v>
      </c>
      <c r="I222" s="4"/>
      <c r="J222" s="4"/>
      <c r="K222" s="4">
        <v>208</v>
      </c>
      <c r="L222" s="4">
        <v>22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209</v>
      </c>
      <c r="F223" s="4">
        <f>ROUND(Source!W199,O223)</f>
        <v>0</v>
      </c>
      <c r="G223" s="4" t="s">
        <v>89</v>
      </c>
      <c r="H223" s="4" t="s">
        <v>90</v>
      </c>
      <c r="I223" s="4"/>
      <c r="J223" s="4"/>
      <c r="K223" s="4">
        <v>209</v>
      </c>
      <c r="L223" s="4">
        <v>23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233</v>
      </c>
      <c r="F224" s="4">
        <f>ROUND(Source!BD199,O224)</f>
        <v>0</v>
      </c>
      <c r="G224" s="4" t="s">
        <v>91</v>
      </c>
      <c r="H224" s="4" t="s">
        <v>92</v>
      </c>
      <c r="I224" s="4"/>
      <c r="J224" s="4"/>
      <c r="K224" s="4">
        <v>233</v>
      </c>
      <c r="L224" s="4">
        <v>24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210</v>
      </c>
      <c r="F225" s="4">
        <f>ROUND(Source!X199,O225)</f>
        <v>29149.01</v>
      </c>
      <c r="G225" s="4" t="s">
        <v>93</v>
      </c>
      <c r="H225" s="4" t="s">
        <v>94</v>
      </c>
      <c r="I225" s="4"/>
      <c r="J225" s="4"/>
      <c r="K225" s="4">
        <v>210</v>
      </c>
      <c r="L225" s="4">
        <v>25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29149.01</v>
      </c>
      <c r="X225" s="4">
        <v>1</v>
      </c>
      <c r="Y225" s="4">
        <v>29149.01</v>
      </c>
      <c r="Z225" s="4"/>
      <c r="AA225" s="4"/>
      <c r="AB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211</v>
      </c>
      <c r="F226" s="4">
        <f>ROUND(Source!Y199,O226)</f>
        <v>4164.1499999999996</v>
      </c>
      <c r="G226" s="4" t="s">
        <v>95</v>
      </c>
      <c r="H226" s="4" t="s">
        <v>96</v>
      </c>
      <c r="I226" s="4"/>
      <c r="J226" s="4"/>
      <c r="K226" s="4">
        <v>211</v>
      </c>
      <c r="L226" s="4">
        <v>26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4164.1499999999996</v>
      </c>
      <c r="X226" s="4">
        <v>1</v>
      </c>
      <c r="Y226" s="4">
        <v>4164.1499999999996</v>
      </c>
      <c r="Z226" s="4"/>
      <c r="AA226" s="4"/>
      <c r="AB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224</v>
      </c>
      <c r="F227" s="4">
        <f>ROUND(Source!AR199,O227)</f>
        <v>90500.51</v>
      </c>
      <c r="G227" s="4" t="s">
        <v>97</v>
      </c>
      <c r="H227" s="4" t="s">
        <v>98</v>
      </c>
      <c r="I227" s="4"/>
      <c r="J227" s="4"/>
      <c r="K227" s="4">
        <v>224</v>
      </c>
      <c r="L227" s="4">
        <v>27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90500.51</v>
      </c>
      <c r="X227" s="4">
        <v>1</v>
      </c>
      <c r="Y227" s="4">
        <v>90500.51</v>
      </c>
      <c r="Z227" s="4"/>
      <c r="AA227" s="4"/>
      <c r="AB227" s="4"/>
    </row>
    <row r="229" spans="1:245" x14ac:dyDescent="0.2">
      <c r="A229" s="1">
        <v>4</v>
      </c>
      <c r="B229" s="1">
        <v>1</v>
      </c>
      <c r="C229" s="1"/>
      <c r="D229" s="1">
        <f>ROW(A262)</f>
        <v>262</v>
      </c>
      <c r="E229" s="1"/>
      <c r="F229" s="1" t="s">
        <v>13</v>
      </c>
      <c r="G229" s="1" t="s">
        <v>239</v>
      </c>
      <c r="H229" s="1" t="s">
        <v>3</v>
      </c>
      <c r="I229" s="1">
        <v>0</v>
      </c>
      <c r="J229" s="1"/>
      <c r="K229" s="1">
        <v>0</v>
      </c>
      <c r="L229" s="1"/>
      <c r="M229" s="1" t="s">
        <v>3</v>
      </c>
      <c r="N229" s="1"/>
      <c r="O229" s="1"/>
      <c r="P229" s="1"/>
      <c r="Q229" s="1"/>
      <c r="R229" s="1"/>
      <c r="S229" s="1">
        <v>0</v>
      </c>
      <c r="T229" s="1"/>
      <c r="U229" s="1" t="s">
        <v>3</v>
      </c>
      <c r="V229" s="1">
        <v>0</v>
      </c>
      <c r="W229" s="1"/>
      <c r="X229" s="1"/>
      <c r="Y229" s="1"/>
      <c r="Z229" s="1"/>
      <c r="AA229" s="1"/>
      <c r="AB229" s="1" t="s">
        <v>3</v>
      </c>
      <c r="AC229" s="1" t="s">
        <v>3</v>
      </c>
      <c r="AD229" s="1" t="s">
        <v>3</v>
      </c>
      <c r="AE229" s="1" t="s">
        <v>3</v>
      </c>
      <c r="AF229" s="1" t="s">
        <v>3</v>
      </c>
      <c r="AG229" s="1" t="s">
        <v>3</v>
      </c>
      <c r="AH229" s="1"/>
      <c r="AI229" s="1"/>
      <c r="AJ229" s="1"/>
      <c r="AK229" s="1"/>
      <c r="AL229" s="1"/>
      <c r="AM229" s="1"/>
      <c r="AN229" s="1"/>
      <c r="AO229" s="1"/>
      <c r="AP229" s="1" t="s">
        <v>3</v>
      </c>
      <c r="AQ229" s="1" t="s">
        <v>3</v>
      </c>
      <c r="AR229" s="1" t="s">
        <v>3</v>
      </c>
      <c r="AS229" s="1"/>
      <c r="AT229" s="1"/>
      <c r="AU229" s="1"/>
      <c r="AV229" s="1"/>
      <c r="AW229" s="1"/>
      <c r="AX229" s="1"/>
      <c r="AY229" s="1"/>
      <c r="AZ229" s="1" t="s">
        <v>3</v>
      </c>
      <c r="BA229" s="1"/>
      <c r="BB229" s="1" t="s">
        <v>3</v>
      </c>
      <c r="BC229" s="1" t="s">
        <v>3</v>
      </c>
      <c r="BD229" s="1" t="s">
        <v>3</v>
      </c>
      <c r="BE229" s="1" t="s">
        <v>3</v>
      </c>
      <c r="BF229" s="1" t="s">
        <v>3</v>
      </c>
      <c r="BG229" s="1" t="s">
        <v>3</v>
      </c>
      <c r="BH229" s="1" t="s">
        <v>3</v>
      </c>
      <c r="BI229" s="1" t="s">
        <v>3</v>
      </c>
      <c r="BJ229" s="1" t="s">
        <v>3</v>
      </c>
      <c r="BK229" s="1" t="s">
        <v>3</v>
      </c>
      <c r="BL229" s="1" t="s">
        <v>3</v>
      </c>
      <c r="BM229" s="1" t="s">
        <v>3</v>
      </c>
      <c r="BN229" s="1" t="s">
        <v>3</v>
      </c>
      <c r="BO229" s="1" t="s">
        <v>3</v>
      </c>
      <c r="BP229" s="1" t="s">
        <v>3</v>
      </c>
      <c r="BQ229" s="1"/>
      <c r="BR229" s="1"/>
      <c r="BS229" s="1"/>
      <c r="BT229" s="1"/>
      <c r="BU229" s="1"/>
      <c r="BV229" s="1"/>
      <c r="BW229" s="1"/>
      <c r="BX229" s="1">
        <v>0</v>
      </c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>
        <v>0</v>
      </c>
    </row>
    <row r="231" spans="1:245" x14ac:dyDescent="0.2">
      <c r="A231" s="2">
        <v>52</v>
      </c>
      <c r="B231" s="2">
        <f t="shared" ref="B231:G231" si="228">B262</f>
        <v>1</v>
      </c>
      <c r="C231" s="2">
        <f t="shared" si="228"/>
        <v>4</v>
      </c>
      <c r="D231" s="2">
        <f t="shared" si="228"/>
        <v>229</v>
      </c>
      <c r="E231" s="2">
        <f t="shared" si="228"/>
        <v>0</v>
      </c>
      <c r="F231" s="2" t="str">
        <f t="shared" si="228"/>
        <v>Новый раздел</v>
      </c>
      <c r="G231" s="2" t="str">
        <f t="shared" si="228"/>
        <v>Раздел: 3. Вентиляция и теплоснабжение приточных установок</v>
      </c>
      <c r="H231" s="2"/>
      <c r="I231" s="2"/>
      <c r="J231" s="2"/>
      <c r="K231" s="2"/>
      <c r="L231" s="2"/>
      <c r="M231" s="2"/>
      <c r="N231" s="2"/>
      <c r="O231" s="2">
        <f t="shared" ref="O231:AT231" si="229">O262</f>
        <v>49463.82</v>
      </c>
      <c r="P231" s="2">
        <f t="shared" si="229"/>
        <v>279.16000000000003</v>
      </c>
      <c r="Q231" s="2">
        <f t="shared" si="229"/>
        <v>98.58</v>
      </c>
      <c r="R231" s="2">
        <f t="shared" si="229"/>
        <v>33.64</v>
      </c>
      <c r="S231" s="2">
        <f t="shared" si="229"/>
        <v>49086.080000000002</v>
      </c>
      <c r="T231" s="2">
        <f t="shared" si="229"/>
        <v>0</v>
      </c>
      <c r="U231" s="2">
        <f t="shared" si="229"/>
        <v>74.000000000000014</v>
      </c>
      <c r="V231" s="2">
        <f t="shared" si="229"/>
        <v>0</v>
      </c>
      <c r="W231" s="2">
        <f t="shared" si="229"/>
        <v>0</v>
      </c>
      <c r="X231" s="2">
        <f t="shared" si="229"/>
        <v>34360.25</v>
      </c>
      <c r="Y231" s="2">
        <f t="shared" si="229"/>
        <v>4908.6099999999997</v>
      </c>
      <c r="Z231" s="2">
        <f t="shared" si="229"/>
        <v>0</v>
      </c>
      <c r="AA231" s="2">
        <f t="shared" si="229"/>
        <v>0</v>
      </c>
      <c r="AB231" s="2">
        <f t="shared" si="229"/>
        <v>49463.82</v>
      </c>
      <c r="AC231" s="2">
        <f t="shared" si="229"/>
        <v>279.16000000000003</v>
      </c>
      <c r="AD231" s="2">
        <f t="shared" si="229"/>
        <v>98.58</v>
      </c>
      <c r="AE231" s="2">
        <f t="shared" si="229"/>
        <v>33.64</v>
      </c>
      <c r="AF231" s="2">
        <f t="shared" si="229"/>
        <v>49086.080000000002</v>
      </c>
      <c r="AG231" s="2">
        <f t="shared" si="229"/>
        <v>0</v>
      </c>
      <c r="AH231" s="2">
        <f t="shared" si="229"/>
        <v>74.000000000000014</v>
      </c>
      <c r="AI231" s="2">
        <f t="shared" si="229"/>
        <v>0</v>
      </c>
      <c r="AJ231" s="2">
        <f t="shared" si="229"/>
        <v>0</v>
      </c>
      <c r="AK231" s="2">
        <f t="shared" si="229"/>
        <v>34360.25</v>
      </c>
      <c r="AL231" s="2">
        <f t="shared" si="229"/>
        <v>4908.6099999999997</v>
      </c>
      <c r="AM231" s="2">
        <f t="shared" si="229"/>
        <v>0</v>
      </c>
      <c r="AN231" s="2">
        <f t="shared" si="229"/>
        <v>0</v>
      </c>
      <c r="AO231" s="2">
        <f t="shared" si="229"/>
        <v>0</v>
      </c>
      <c r="AP231" s="2">
        <f t="shared" si="229"/>
        <v>0</v>
      </c>
      <c r="AQ231" s="2">
        <f t="shared" si="229"/>
        <v>0</v>
      </c>
      <c r="AR231" s="2">
        <f t="shared" si="229"/>
        <v>88769</v>
      </c>
      <c r="AS231" s="2">
        <f t="shared" si="229"/>
        <v>0</v>
      </c>
      <c r="AT231" s="2">
        <f t="shared" si="229"/>
        <v>0</v>
      </c>
      <c r="AU231" s="2">
        <f t="shared" ref="AU231:BZ231" si="230">AU262</f>
        <v>88769</v>
      </c>
      <c r="AV231" s="2">
        <f t="shared" si="230"/>
        <v>279.16000000000003</v>
      </c>
      <c r="AW231" s="2">
        <f t="shared" si="230"/>
        <v>279.16000000000003</v>
      </c>
      <c r="AX231" s="2">
        <f t="shared" si="230"/>
        <v>0</v>
      </c>
      <c r="AY231" s="2">
        <f t="shared" si="230"/>
        <v>279.16000000000003</v>
      </c>
      <c r="AZ231" s="2">
        <f t="shared" si="230"/>
        <v>0</v>
      </c>
      <c r="BA231" s="2">
        <f t="shared" si="230"/>
        <v>0</v>
      </c>
      <c r="BB231" s="2">
        <f t="shared" si="230"/>
        <v>0</v>
      </c>
      <c r="BC231" s="2">
        <f t="shared" si="230"/>
        <v>0</v>
      </c>
      <c r="BD231" s="2">
        <f t="shared" si="230"/>
        <v>0</v>
      </c>
      <c r="BE231" s="2">
        <f t="shared" si="230"/>
        <v>0</v>
      </c>
      <c r="BF231" s="2">
        <f t="shared" si="230"/>
        <v>0</v>
      </c>
      <c r="BG231" s="2">
        <f t="shared" si="230"/>
        <v>0</v>
      </c>
      <c r="BH231" s="2">
        <f t="shared" si="230"/>
        <v>0</v>
      </c>
      <c r="BI231" s="2">
        <f t="shared" si="230"/>
        <v>0</v>
      </c>
      <c r="BJ231" s="2">
        <f t="shared" si="230"/>
        <v>0</v>
      </c>
      <c r="BK231" s="2">
        <f t="shared" si="230"/>
        <v>0</v>
      </c>
      <c r="BL231" s="2">
        <f t="shared" si="230"/>
        <v>0</v>
      </c>
      <c r="BM231" s="2">
        <f t="shared" si="230"/>
        <v>0</v>
      </c>
      <c r="BN231" s="2">
        <f t="shared" si="230"/>
        <v>0</v>
      </c>
      <c r="BO231" s="2">
        <f t="shared" si="230"/>
        <v>0</v>
      </c>
      <c r="BP231" s="2">
        <f t="shared" si="230"/>
        <v>0</v>
      </c>
      <c r="BQ231" s="2">
        <f t="shared" si="230"/>
        <v>0</v>
      </c>
      <c r="BR231" s="2">
        <f t="shared" si="230"/>
        <v>0</v>
      </c>
      <c r="BS231" s="2">
        <f t="shared" si="230"/>
        <v>0</v>
      </c>
      <c r="BT231" s="2">
        <f t="shared" si="230"/>
        <v>0</v>
      </c>
      <c r="BU231" s="2">
        <f t="shared" si="230"/>
        <v>0</v>
      </c>
      <c r="BV231" s="2">
        <f t="shared" si="230"/>
        <v>0</v>
      </c>
      <c r="BW231" s="2">
        <f t="shared" si="230"/>
        <v>0</v>
      </c>
      <c r="BX231" s="2">
        <f t="shared" si="230"/>
        <v>0</v>
      </c>
      <c r="BY231" s="2">
        <f t="shared" si="230"/>
        <v>0</v>
      </c>
      <c r="BZ231" s="2">
        <f t="shared" si="230"/>
        <v>0</v>
      </c>
      <c r="CA231" s="2">
        <f t="shared" ref="CA231:DF231" si="231">CA262</f>
        <v>88769</v>
      </c>
      <c r="CB231" s="2">
        <f t="shared" si="231"/>
        <v>0</v>
      </c>
      <c r="CC231" s="2">
        <f t="shared" si="231"/>
        <v>0</v>
      </c>
      <c r="CD231" s="2">
        <f t="shared" si="231"/>
        <v>88769</v>
      </c>
      <c r="CE231" s="2">
        <f t="shared" si="231"/>
        <v>279.16000000000003</v>
      </c>
      <c r="CF231" s="2">
        <f t="shared" si="231"/>
        <v>279.16000000000003</v>
      </c>
      <c r="CG231" s="2">
        <f t="shared" si="231"/>
        <v>0</v>
      </c>
      <c r="CH231" s="2">
        <f t="shared" si="231"/>
        <v>279.16000000000003</v>
      </c>
      <c r="CI231" s="2">
        <f t="shared" si="231"/>
        <v>0</v>
      </c>
      <c r="CJ231" s="2">
        <f t="shared" si="231"/>
        <v>0</v>
      </c>
      <c r="CK231" s="2">
        <f t="shared" si="231"/>
        <v>0</v>
      </c>
      <c r="CL231" s="2">
        <f t="shared" si="231"/>
        <v>0</v>
      </c>
      <c r="CM231" s="2">
        <f t="shared" si="231"/>
        <v>0</v>
      </c>
      <c r="CN231" s="2">
        <f t="shared" si="231"/>
        <v>0</v>
      </c>
      <c r="CO231" s="2">
        <f t="shared" si="231"/>
        <v>0</v>
      </c>
      <c r="CP231" s="2">
        <f t="shared" si="231"/>
        <v>0</v>
      </c>
      <c r="CQ231" s="2">
        <f t="shared" si="231"/>
        <v>0</v>
      </c>
      <c r="CR231" s="2">
        <f t="shared" si="231"/>
        <v>0</v>
      </c>
      <c r="CS231" s="2">
        <f t="shared" si="231"/>
        <v>0</v>
      </c>
      <c r="CT231" s="2">
        <f t="shared" si="231"/>
        <v>0</v>
      </c>
      <c r="CU231" s="2">
        <f t="shared" si="231"/>
        <v>0</v>
      </c>
      <c r="CV231" s="2">
        <f t="shared" si="231"/>
        <v>0</v>
      </c>
      <c r="CW231" s="2">
        <f t="shared" si="231"/>
        <v>0</v>
      </c>
      <c r="CX231" s="2">
        <f t="shared" si="231"/>
        <v>0</v>
      </c>
      <c r="CY231" s="2">
        <f t="shared" si="231"/>
        <v>0</v>
      </c>
      <c r="CZ231" s="2">
        <f t="shared" si="231"/>
        <v>0</v>
      </c>
      <c r="DA231" s="2">
        <f t="shared" si="231"/>
        <v>0</v>
      </c>
      <c r="DB231" s="2">
        <f t="shared" si="231"/>
        <v>0</v>
      </c>
      <c r="DC231" s="2">
        <f t="shared" si="231"/>
        <v>0</v>
      </c>
      <c r="DD231" s="2">
        <f t="shared" si="231"/>
        <v>0</v>
      </c>
      <c r="DE231" s="2">
        <f t="shared" si="231"/>
        <v>0</v>
      </c>
      <c r="DF231" s="2">
        <f t="shared" si="231"/>
        <v>0</v>
      </c>
      <c r="DG231" s="3">
        <f t="shared" ref="DG231:EL231" si="232">DG262</f>
        <v>0</v>
      </c>
      <c r="DH231" s="3">
        <f t="shared" si="232"/>
        <v>0</v>
      </c>
      <c r="DI231" s="3">
        <f t="shared" si="232"/>
        <v>0</v>
      </c>
      <c r="DJ231" s="3">
        <f t="shared" si="232"/>
        <v>0</v>
      </c>
      <c r="DK231" s="3">
        <f t="shared" si="232"/>
        <v>0</v>
      </c>
      <c r="DL231" s="3">
        <f t="shared" si="232"/>
        <v>0</v>
      </c>
      <c r="DM231" s="3">
        <f t="shared" si="232"/>
        <v>0</v>
      </c>
      <c r="DN231" s="3">
        <f t="shared" si="232"/>
        <v>0</v>
      </c>
      <c r="DO231" s="3">
        <f t="shared" si="232"/>
        <v>0</v>
      </c>
      <c r="DP231" s="3">
        <f t="shared" si="232"/>
        <v>0</v>
      </c>
      <c r="DQ231" s="3">
        <f t="shared" si="232"/>
        <v>0</v>
      </c>
      <c r="DR231" s="3">
        <f t="shared" si="232"/>
        <v>0</v>
      </c>
      <c r="DS231" s="3">
        <f t="shared" si="232"/>
        <v>0</v>
      </c>
      <c r="DT231" s="3">
        <f t="shared" si="232"/>
        <v>0</v>
      </c>
      <c r="DU231" s="3">
        <f t="shared" si="232"/>
        <v>0</v>
      </c>
      <c r="DV231" s="3">
        <f t="shared" si="232"/>
        <v>0</v>
      </c>
      <c r="DW231" s="3">
        <f t="shared" si="232"/>
        <v>0</v>
      </c>
      <c r="DX231" s="3">
        <f t="shared" si="232"/>
        <v>0</v>
      </c>
      <c r="DY231" s="3">
        <f t="shared" si="232"/>
        <v>0</v>
      </c>
      <c r="DZ231" s="3">
        <f t="shared" si="232"/>
        <v>0</v>
      </c>
      <c r="EA231" s="3">
        <f t="shared" si="232"/>
        <v>0</v>
      </c>
      <c r="EB231" s="3">
        <f t="shared" si="232"/>
        <v>0</v>
      </c>
      <c r="EC231" s="3">
        <f t="shared" si="232"/>
        <v>0</v>
      </c>
      <c r="ED231" s="3">
        <f t="shared" si="232"/>
        <v>0</v>
      </c>
      <c r="EE231" s="3">
        <f t="shared" si="232"/>
        <v>0</v>
      </c>
      <c r="EF231" s="3">
        <f t="shared" si="232"/>
        <v>0</v>
      </c>
      <c r="EG231" s="3">
        <f t="shared" si="232"/>
        <v>0</v>
      </c>
      <c r="EH231" s="3">
        <f t="shared" si="232"/>
        <v>0</v>
      </c>
      <c r="EI231" s="3">
        <f t="shared" si="232"/>
        <v>0</v>
      </c>
      <c r="EJ231" s="3">
        <f t="shared" si="232"/>
        <v>0</v>
      </c>
      <c r="EK231" s="3">
        <f t="shared" si="232"/>
        <v>0</v>
      </c>
      <c r="EL231" s="3">
        <f t="shared" si="232"/>
        <v>0</v>
      </c>
      <c r="EM231" s="3">
        <f t="shared" ref="EM231:FR231" si="233">EM262</f>
        <v>0</v>
      </c>
      <c r="EN231" s="3">
        <f t="shared" si="233"/>
        <v>0</v>
      </c>
      <c r="EO231" s="3">
        <f t="shared" si="233"/>
        <v>0</v>
      </c>
      <c r="EP231" s="3">
        <f t="shared" si="233"/>
        <v>0</v>
      </c>
      <c r="EQ231" s="3">
        <f t="shared" si="233"/>
        <v>0</v>
      </c>
      <c r="ER231" s="3">
        <f t="shared" si="233"/>
        <v>0</v>
      </c>
      <c r="ES231" s="3">
        <f t="shared" si="233"/>
        <v>0</v>
      </c>
      <c r="ET231" s="3">
        <f t="shared" si="233"/>
        <v>0</v>
      </c>
      <c r="EU231" s="3">
        <f t="shared" si="233"/>
        <v>0</v>
      </c>
      <c r="EV231" s="3">
        <f t="shared" si="233"/>
        <v>0</v>
      </c>
      <c r="EW231" s="3">
        <f t="shared" si="233"/>
        <v>0</v>
      </c>
      <c r="EX231" s="3">
        <f t="shared" si="233"/>
        <v>0</v>
      </c>
      <c r="EY231" s="3">
        <f t="shared" si="233"/>
        <v>0</v>
      </c>
      <c r="EZ231" s="3">
        <f t="shared" si="233"/>
        <v>0</v>
      </c>
      <c r="FA231" s="3">
        <f t="shared" si="233"/>
        <v>0</v>
      </c>
      <c r="FB231" s="3">
        <f t="shared" si="233"/>
        <v>0</v>
      </c>
      <c r="FC231" s="3">
        <f t="shared" si="233"/>
        <v>0</v>
      </c>
      <c r="FD231" s="3">
        <f t="shared" si="233"/>
        <v>0</v>
      </c>
      <c r="FE231" s="3">
        <f t="shared" si="233"/>
        <v>0</v>
      </c>
      <c r="FF231" s="3">
        <f t="shared" si="233"/>
        <v>0</v>
      </c>
      <c r="FG231" s="3">
        <f t="shared" si="233"/>
        <v>0</v>
      </c>
      <c r="FH231" s="3">
        <f t="shared" si="233"/>
        <v>0</v>
      </c>
      <c r="FI231" s="3">
        <f t="shared" si="233"/>
        <v>0</v>
      </c>
      <c r="FJ231" s="3">
        <f t="shared" si="233"/>
        <v>0</v>
      </c>
      <c r="FK231" s="3">
        <f t="shared" si="233"/>
        <v>0</v>
      </c>
      <c r="FL231" s="3">
        <f t="shared" si="233"/>
        <v>0</v>
      </c>
      <c r="FM231" s="3">
        <f t="shared" si="233"/>
        <v>0</v>
      </c>
      <c r="FN231" s="3">
        <f t="shared" si="233"/>
        <v>0</v>
      </c>
      <c r="FO231" s="3">
        <f t="shared" si="233"/>
        <v>0</v>
      </c>
      <c r="FP231" s="3">
        <f t="shared" si="233"/>
        <v>0</v>
      </c>
      <c r="FQ231" s="3">
        <f t="shared" si="233"/>
        <v>0</v>
      </c>
      <c r="FR231" s="3">
        <f t="shared" si="233"/>
        <v>0</v>
      </c>
      <c r="FS231" s="3">
        <f t="shared" ref="FS231:GX231" si="234">FS262</f>
        <v>0</v>
      </c>
      <c r="FT231" s="3">
        <f t="shared" si="234"/>
        <v>0</v>
      </c>
      <c r="FU231" s="3">
        <f t="shared" si="234"/>
        <v>0</v>
      </c>
      <c r="FV231" s="3">
        <f t="shared" si="234"/>
        <v>0</v>
      </c>
      <c r="FW231" s="3">
        <f t="shared" si="234"/>
        <v>0</v>
      </c>
      <c r="FX231" s="3">
        <f t="shared" si="234"/>
        <v>0</v>
      </c>
      <c r="FY231" s="3">
        <f t="shared" si="234"/>
        <v>0</v>
      </c>
      <c r="FZ231" s="3">
        <f t="shared" si="234"/>
        <v>0</v>
      </c>
      <c r="GA231" s="3">
        <f t="shared" si="234"/>
        <v>0</v>
      </c>
      <c r="GB231" s="3">
        <f t="shared" si="234"/>
        <v>0</v>
      </c>
      <c r="GC231" s="3">
        <f t="shared" si="234"/>
        <v>0</v>
      </c>
      <c r="GD231" s="3">
        <f t="shared" si="234"/>
        <v>0</v>
      </c>
      <c r="GE231" s="3">
        <f t="shared" si="234"/>
        <v>0</v>
      </c>
      <c r="GF231" s="3">
        <f t="shared" si="234"/>
        <v>0</v>
      </c>
      <c r="GG231" s="3">
        <f t="shared" si="234"/>
        <v>0</v>
      </c>
      <c r="GH231" s="3">
        <f t="shared" si="234"/>
        <v>0</v>
      </c>
      <c r="GI231" s="3">
        <f t="shared" si="234"/>
        <v>0</v>
      </c>
      <c r="GJ231" s="3">
        <f t="shared" si="234"/>
        <v>0</v>
      </c>
      <c r="GK231" s="3">
        <f t="shared" si="234"/>
        <v>0</v>
      </c>
      <c r="GL231" s="3">
        <f t="shared" si="234"/>
        <v>0</v>
      </c>
      <c r="GM231" s="3">
        <f t="shared" si="234"/>
        <v>0</v>
      </c>
      <c r="GN231" s="3">
        <f t="shared" si="234"/>
        <v>0</v>
      </c>
      <c r="GO231" s="3">
        <f t="shared" si="234"/>
        <v>0</v>
      </c>
      <c r="GP231" s="3">
        <f t="shared" si="234"/>
        <v>0</v>
      </c>
      <c r="GQ231" s="3">
        <f t="shared" si="234"/>
        <v>0</v>
      </c>
      <c r="GR231" s="3">
        <f t="shared" si="234"/>
        <v>0</v>
      </c>
      <c r="GS231" s="3">
        <f t="shared" si="234"/>
        <v>0</v>
      </c>
      <c r="GT231" s="3">
        <f t="shared" si="234"/>
        <v>0</v>
      </c>
      <c r="GU231" s="3">
        <f t="shared" si="234"/>
        <v>0</v>
      </c>
      <c r="GV231" s="3">
        <f t="shared" si="234"/>
        <v>0</v>
      </c>
      <c r="GW231" s="3">
        <f t="shared" si="234"/>
        <v>0</v>
      </c>
      <c r="GX231" s="3">
        <f t="shared" si="234"/>
        <v>0</v>
      </c>
    </row>
    <row r="233" spans="1:245" x14ac:dyDescent="0.2">
      <c r="A233">
        <v>17</v>
      </c>
      <c r="B233">
        <v>1</v>
      </c>
      <c r="D233">
        <f>ROW(EtalonRes!A133)</f>
        <v>133</v>
      </c>
      <c r="E233" t="s">
        <v>3</v>
      </c>
      <c r="F233" t="s">
        <v>240</v>
      </c>
      <c r="G233" t="s">
        <v>241</v>
      </c>
      <c r="H233" t="s">
        <v>242</v>
      </c>
      <c r="I233">
        <v>4</v>
      </c>
      <c r="J233">
        <v>0</v>
      </c>
      <c r="K233">
        <v>4</v>
      </c>
      <c r="O233">
        <f t="shared" ref="O233:O260" si="235">ROUND(CP233,2)</f>
        <v>311818.56</v>
      </c>
      <c r="P233">
        <f t="shared" ref="P233:P260" si="236">ROUND(CQ233*I233,2)</f>
        <v>17189.04</v>
      </c>
      <c r="Q233">
        <f t="shared" ref="Q233:Q260" si="237">ROUND(CR233*I233,2)</f>
        <v>0</v>
      </c>
      <c r="R233">
        <f t="shared" ref="R233:R260" si="238">ROUND(CS233*I233,2)</f>
        <v>0</v>
      </c>
      <c r="S233">
        <f t="shared" ref="S233:S260" si="239">ROUND(CT233*I233,2)</f>
        <v>294629.52</v>
      </c>
      <c r="T233">
        <f t="shared" ref="T233:T260" si="240">ROUND(CU233*I233,2)</f>
        <v>0</v>
      </c>
      <c r="U233">
        <f t="shared" ref="U233:U260" si="241">CV233*I233</f>
        <v>444</v>
      </c>
      <c r="V233">
        <f t="shared" ref="V233:V260" si="242">CW233*I233</f>
        <v>0</v>
      </c>
      <c r="W233">
        <f t="shared" ref="W233:W260" si="243">ROUND(CX233*I233,2)</f>
        <v>0</v>
      </c>
      <c r="X233">
        <f t="shared" ref="X233:X260" si="244">ROUND(CY233,2)</f>
        <v>206240.66</v>
      </c>
      <c r="Y233">
        <f t="shared" ref="Y233:Y260" si="245">ROUND(CZ233,2)</f>
        <v>29462.95</v>
      </c>
      <c r="AA233">
        <v>-1</v>
      </c>
      <c r="AB233">
        <f t="shared" ref="AB233:AB260" si="246">ROUND((AC233+AD233+AF233),6)</f>
        <v>77954.64</v>
      </c>
      <c r="AC233">
        <f>ROUND((ES233),6)</f>
        <v>4297.26</v>
      </c>
      <c r="AD233">
        <f>ROUND((((ET233)-(EU233))+AE233),6)</f>
        <v>0</v>
      </c>
      <c r="AE233">
        <f>ROUND((EU233),6)</f>
        <v>0</v>
      </c>
      <c r="AF233">
        <f>ROUND((EV233),6)</f>
        <v>73657.38</v>
      </c>
      <c r="AG233">
        <f t="shared" ref="AG233:AG260" si="247">ROUND((AP233),6)</f>
        <v>0</v>
      </c>
      <c r="AH233">
        <f>(EW233)</f>
        <v>111</v>
      </c>
      <c r="AI233">
        <f>(EX233)</f>
        <v>0</v>
      </c>
      <c r="AJ233">
        <f t="shared" ref="AJ233:AJ260" si="248">(AS233)</f>
        <v>0</v>
      </c>
      <c r="AK233">
        <v>77954.64</v>
      </c>
      <c r="AL233">
        <v>4297.26</v>
      </c>
      <c r="AM233">
        <v>0</v>
      </c>
      <c r="AN233">
        <v>0</v>
      </c>
      <c r="AO233">
        <v>73657.38</v>
      </c>
      <c r="AP233">
        <v>0</v>
      </c>
      <c r="AQ233">
        <v>111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243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ref="CP233:CP260" si="249">(P233+Q233+S233)</f>
        <v>311818.56</v>
      </c>
      <c r="CQ233">
        <f t="shared" ref="CQ233:CQ260" si="250">(AC233*BC233*AW233)</f>
        <v>4297.26</v>
      </c>
      <c r="CR233">
        <f>((((ET233)*BB233-(EU233)*BS233)+AE233*BS233)*AV233)</f>
        <v>0</v>
      </c>
      <c r="CS233">
        <f t="shared" ref="CS233:CS260" si="251">(AE233*BS233*AV233)</f>
        <v>0</v>
      </c>
      <c r="CT233">
        <f t="shared" ref="CT233:CT260" si="252">(AF233*BA233*AV233)</f>
        <v>73657.38</v>
      </c>
      <c r="CU233">
        <f t="shared" ref="CU233:CU260" si="253">AG233</f>
        <v>0</v>
      </c>
      <c r="CV233">
        <f t="shared" ref="CV233:CV260" si="254">(AH233*AV233)</f>
        <v>111</v>
      </c>
      <c r="CW233">
        <f t="shared" ref="CW233:CW260" si="255">AI233</f>
        <v>0</v>
      </c>
      <c r="CX233">
        <f t="shared" ref="CX233:CX260" si="256">AJ233</f>
        <v>0</v>
      </c>
      <c r="CY233">
        <f t="shared" ref="CY233:CY260" si="257">((S233*BZ233)/100)</f>
        <v>206240.66400000002</v>
      </c>
      <c r="CZ233">
        <f t="shared" ref="CZ233:CZ260" si="258">((S233*CA233)/100)</f>
        <v>29462.952000000001</v>
      </c>
      <c r="DC233" t="s">
        <v>3</v>
      </c>
      <c r="DD233" t="s">
        <v>3</v>
      </c>
      <c r="DE233" t="s">
        <v>3</v>
      </c>
      <c r="DF233" t="s">
        <v>3</v>
      </c>
      <c r="DG233" t="s">
        <v>3</v>
      </c>
      <c r="DH233" t="s">
        <v>3</v>
      </c>
      <c r="DI233" t="s">
        <v>3</v>
      </c>
      <c r="DJ233" t="s">
        <v>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1013</v>
      </c>
      <c r="DV233" t="s">
        <v>242</v>
      </c>
      <c r="DW233" t="s">
        <v>242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19</v>
      </c>
      <c r="EH233">
        <v>0</v>
      </c>
      <c r="EI233" t="s">
        <v>3</v>
      </c>
      <c r="EJ233">
        <v>4</v>
      </c>
      <c r="EK233">
        <v>0</v>
      </c>
      <c r="EL233" t="s">
        <v>20</v>
      </c>
      <c r="EM233" t="s">
        <v>21</v>
      </c>
      <c r="EO233" t="s">
        <v>3</v>
      </c>
      <c r="EQ233">
        <v>1024</v>
      </c>
      <c r="ER233">
        <v>77954.64</v>
      </c>
      <c r="ES233">
        <v>4297.26</v>
      </c>
      <c r="ET233">
        <v>0</v>
      </c>
      <c r="EU233">
        <v>0</v>
      </c>
      <c r="EV233">
        <v>73657.38</v>
      </c>
      <c r="EW233">
        <v>111</v>
      </c>
      <c r="EX233">
        <v>0</v>
      </c>
      <c r="EY233">
        <v>0</v>
      </c>
      <c r="FQ233">
        <v>0</v>
      </c>
      <c r="FR233">
        <f t="shared" ref="FR233:FR260" si="259">ROUND(IF(BI233=3,GM233,0),2)</f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-1290701687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</v>
      </c>
      <c r="GL233">
        <f t="shared" ref="GL233:GL260" si="260">ROUND(IF(AND(BH233=3,BI233=3,FS233&lt;&gt;0),P233,0),2)</f>
        <v>0</v>
      </c>
      <c r="GM233">
        <f t="shared" ref="GM233:GM260" si="261">ROUND(O233+X233+Y233+GK233,2)+GX233</f>
        <v>547522.17000000004</v>
      </c>
      <c r="GN233">
        <f t="shared" ref="GN233:GN260" si="262">IF(OR(BI233=0,BI233=1),GM233-GX233,0)</f>
        <v>0</v>
      </c>
      <c r="GO233">
        <f t="shared" ref="GO233:GO260" si="263">IF(BI233=2,GM233-GX233,0)</f>
        <v>0</v>
      </c>
      <c r="GP233">
        <f t="shared" ref="GP233:GP260" si="264">IF(BI233=4,GM233-GX233,0)</f>
        <v>547522.17000000004</v>
      </c>
      <c r="GR233">
        <v>0</v>
      </c>
      <c r="GS233">
        <v>3</v>
      </c>
      <c r="GT233">
        <v>0</v>
      </c>
      <c r="GU233" t="s">
        <v>3</v>
      </c>
      <c r="GV233">
        <f t="shared" ref="GV233:GV260" si="265">ROUND((GT233),6)</f>
        <v>0</v>
      </c>
      <c r="GW233">
        <v>1</v>
      </c>
      <c r="GX233">
        <f t="shared" ref="GX233:GX260" si="266">ROUND(HC233*I233,2)</f>
        <v>0</v>
      </c>
      <c r="HA233">
        <v>0</v>
      </c>
      <c r="HB233">
        <v>0</v>
      </c>
      <c r="HC233">
        <f t="shared" ref="HC233:HC260" si="267">GV233*GW233</f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4" spans="1:245" x14ac:dyDescent="0.2">
      <c r="A234">
        <v>17</v>
      </c>
      <c r="B234">
        <v>1</v>
      </c>
      <c r="D234">
        <f>ROW(EtalonRes!A137)</f>
        <v>137</v>
      </c>
      <c r="E234" t="s">
        <v>3</v>
      </c>
      <c r="F234" t="s">
        <v>244</v>
      </c>
      <c r="G234" t="s">
        <v>245</v>
      </c>
      <c r="H234" t="s">
        <v>242</v>
      </c>
      <c r="I234">
        <v>4</v>
      </c>
      <c r="J234">
        <v>0</v>
      </c>
      <c r="K234">
        <v>4</v>
      </c>
      <c r="O234">
        <f t="shared" si="235"/>
        <v>38082.68</v>
      </c>
      <c r="P234">
        <f t="shared" si="236"/>
        <v>166.44</v>
      </c>
      <c r="Q234">
        <f t="shared" si="237"/>
        <v>119</v>
      </c>
      <c r="R234">
        <f t="shared" si="238"/>
        <v>1.64</v>
      </c>
      <c r="S234">
        <f t="shared" si="239"/>
        <v>37797.24</v>
      </c>
      <c r="T234">
        <f t="shared" si="240"/>
        <v>0</v>
      </c>
      <c r="U234">
        <f t="shared" si="241"/>
        <v>56.96</v>
      </c>
      <c r="V234">
        <f t="shared" si="242"/>
        <v>0</v>
      </c>
      <c r="W234">
        <f t="shared" si="243"/>
        <v>0</v>
      </c>
      <c r="X234">
        <f t="shared" si="244"/>
        <v>26458.07</v>
      </c>
      <c r="Y234">
        <f t="shared" si="245"/>
        <v>3779.72</v>
      </c>
      <c r="AA234">
        <v>-1</v>
      </c>
      <c r="AB234">
        <f t="shared" si="246"/>
        <v>9520.67</v>
      </c>
      <c r="AC234">
        <f>ROUND((ES234),6)</f>
        <v>41.61</v>
      </c>
      <c r="AD234">
        <f>ROUND((((ET234)-(EU234))+AE234),6)</f>
        <v>29.75</v>
      </c>
      <c r="AE234">
        <f>ROUND((EU234),6)</f>
        <v>0.41</v>
      </c>
      <c r="AF234">
        <f>ROUND((EV234),6)</f>
        <v>9449.31</v>
      </c>
      <c r="AG234">
        <f t="shared" si="247"/>
        <v>0</v>
      </c>
      <c r="AH234">
        <f>(EW234)</f>
        <v>14.24</v>
      </c>
      <c r="AI234">
        <f>(EX234)</f>
        <v>0</v>
      </c>
      <c r="AJ234">
        <f t="shared" si="248"/>
        <v>0</v>
      </c>
      <c r="AK234">
        <v>9520.67</v>
      </c>
      <c r="AL234">
        <v>41.61</v>
      </c>
      <c r="AM234">
        <v>29.75</v>
      </c>
      <c r="AN234">
        <v>0.41</v>
      </c>
      <c r="AO234">
        <v>9449.31</v>
      </c>
      <c r="AP234">
        <v>0</v>
      </c>
      <c r="AQ234">
        <v>14.24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246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si="249"/>
        <v>38082.68</v>
      </c>
      <c r="CQ234">
        <f t="shared" si="250"/>
        <v>41.61</v>
      </c>
      <c r="CR234">
        <f>((((ET234)*BB234-(EU234)*BS234)+AE234*BS234)*AV234)</f>
        <v>29.75</v>
      </c>
      <c r="CS234">
        <f t="shared" si="251"/>
        <v>0.41</v>
      </c>
      <c r="CT234">
        <f t="shared" si="252"/>
        <v>9449.31</v>
      </c>
      <c r="CU234">
        <f t="shared" si="253"/>
        <v>0</v>
      </c>
      <c r="CV234">
        <f t="shared" si="254"/>
        <v>14.24</v>
      </c>
      <c r="CW234">
        <f t="shared" si="255"/>
        <v>0</v>
      </c>
      <c r="CX234">
        <f t="shared" si="256"/>
        <v>0</v>
      </c>
      <c r="CY234">
        <f t="shared" si="257"/>
        <v>26458.067999999999</v>
      </c>
      <c r="CZ234">
        <f t="shared" si="258"/>
        <v>3779.7239999999997</v>
      </c>
      <c r="DC234" t="s">
        <v>3</v>
      </c>
      <c r="DD234" t="s">
        <v>3</v>
      </c>
      <c r="DE234" t="s">
        <v>3</v>
      </c>
      <c r="DF234" t="s">
        <v>3</v>
      </c>
      <c r="DG234" t="s">
        <v>3</v>
      </c>
      <c r="DH234" t="s">
        <v>3</v>
      </c>
      <c r="DI234" t="s">
        <v>3</v>
      </c>
      <c r="DJ234" t="s">
        <v>3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1013</v>
      </c>
      <c r="DV234" t="s">
        <v>242</v>
      </c>
      <c r="DW234" t="s">
        <v>242</v>
      </c>
      <c r="DX234">
        <v>1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19</v>
      </c>
      <c r="EH234">
        <v>0</v>
      </c>
      <c r="EI234" t="s">
        <v>3</v>
      </c>
      <c r="EJ234">
        <v>4</v>
      </c>
      <c r="EK234">
        <v>0</v>
      </c>
      <c r="EL234" t="s">
        <v>20</v>
      </c>
      <c r="EM234" t="s">
        <v>21</v>
      </c>
      <c r="EO234" t="s">
        <v>3</v>
      </c>
      <c r="EQ234">
        <v>1311744</v>
      </c>
      <c r="ER234">
        <v>9520.67</v>
      </c>
      <c r="ES234">
        <v>41.61</v>
      </c>
      <c r="ET234">
        <v>29.75</v>
      </c>
      <c r="EU234">
        <v>0.41</v>
      </c>
      <c r="EV234">
        <v>9449.31</v>
      </c>
      <c r="EW234">
        <v>14.24</v>
      </c>
      <c r="EX234">
        <v>0</v>
      </c>
      <c r="EY234">
        <v>0</v>
      </c>
      <c r="FQ234">
        <v>0</v>
      </c>
      <c r="FR234">
        <f t="shared" si="259"/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-719631190</v>
      </c>
      <c r="GG234">
        <v>2</v>
      </c>
      <c r="GH234">
        <v>1</v>
      </c>
      <c r="GI234">
        <v>-2</v>
      </c>
      <c r="GJ234">
        <v>0</v>
      </c>
      <c r="GK234">
        <f>ROUND(R234*(R12)/100,2)</f>
        <v>1.77</v>
      </c>
      <c r="GL234">
        <f t="shared" si="260"/>
        <v>0</v>
      </c>
      <c r="GM234">
        <f t="shared" si="261"/>
        <v>68322.240000000005</v>
      </c>
      <c r="GN234">
        <f t="shared" si="262"/>
        <v>0</v>
      </c>
      <c r="GO234">
        <f t="shared" si="263"/>
        <v>0</v>
      </c>
      <c r="GP234">
        <f t="shared" si="264"/>
        <v>68322.240000000005</v>
      </c>
      <c r="GR234">
        <v>0</v>
      </c>
      <c r="GS234">
        <v>3</v>
      </c>
      <c r="GT234">
        <v>0</v>
      </c>
      <c r="GU234" t="s">
        <v>3</v>
      </c>
      <c r="GV234">
        <f t="shared" si="265"/>
        <v>0</v>
      </c>
      <c r="GW234">
        <v>1</v>
      </c>
      <c r="GX234">
        <f t="shared" si="266"/>
        <v>0</v>
      </c>
      <c r="HA234">
        <v>0</v>
      </c>
      <c r="HB234">
        <v>0</v>
      </c>
      <c r="HC234">
        <f t="shared" si="267"/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ROW(EtalonRes!A140)</f>
        <v>140</v>
      </c>
      <c r="E235" t="s">
        <v>247</v>
      </c>
      <c r="F235" t="s">
        <v>248</v>
      </c>
      <c r="G235" t="s">
        <v>249</v>
      </c>
      <c r="H235" t="s">
        <v>242</v>
      </c>
      <c r="I235">
        <v>4</v>
      </c>
      <c r="J235">
        <v>0</v>
      </c>
      <c r="K235">
        <v>4</v>
      </c>
      <c r="O235">
        <f t="shared" si="235"/>
        <v>27055.119999999999</v>
      </c>
      <c r="P235">
        <f t="shared" si="236"/>
        <v>256.95999999999998</v>
      </c>
      <c r="Q235">
        <f t="shared" si="237"/>
        <v>42.88</v>
      </c>
      <c r="R235">
        <f t="shared" si="238"/>
        <v>0.56000000000000005</v>
      </c>
      <c r="S235">
        <f t="shared" si="239"/>
        <v>26755.279999999999</v>
      </c>
      <c r="T235">
        <f t="shared" si="240"/>
        <v>0</v>
      </c>
      <c r="U235">
        <f t="shared" si="241"/>
        <v>40.32</v>
      </c>
      <c r="V235">
        <f t="shared" si="242"/>
        <v>0</v>
      </c>
      <c r="W235">
        <f t="shared" si="243"/>
        <v>0</v>
      </c>
      <c r="X235">
        <f t="shared" si="244"/>
        <v>18728.7</v>
      </c>
      <c r="Y235">
        <f t="shared" si="245"/>
        <v>2675.53</v>
      </c>
      <c r="AA235">
        <v>1471988752</v>
      </c>
      <c r="AB235">
        <f t="shared" si="246"/>
        <v>6763.78</v>
      </c>
      <c r="AC235">
        <f>ROUND(((ES235*2)),6)</f>
        <v>64.239999999999995</v>
      </c>
      <c r="AD235">
        <f>ROUND(((((ET235*2))-((EU235*2)))+AE235),6)</f>
        <v>10.72</v>
      </c>
      <c r="AE235">
        <f>ROUND(((EU235*2)),6)</f>
        <v>0.14000000000000001</v>
      </c>
      <c r="AF235">
        <f>ROUND(((EV235*2)),6)</f>
        <v>6688.82</v>
      </c>
      <c r="AG235">
        <f t="shared" si="247"/>
        <v>0</v>
      </c>
      <c r="AH235">
        <f>((EW235*2))</f>
        <v>10.08</v>
      </c>
      <c r="AI235">
        <f>((EX235*2))</f>
        <v>0</v>
      </c>
      <c r="AJ235">
        <f t="shared" si="248"/>
        <v>0</v>
      </c>
      <c r="AK235">
        <v>3381.89</v>
      </c>
      <c r="AL235">
        <v>32.119999999999997</v>
      </c>
      <c r="AM235">
        <v>5.36</v>
      </c>
      <c r="AN235">
        <v>7.0000000000000007E-2</v>
      </c>
      <c r="AO235">
        <v>3344.41</v>
      </c>
      <c r="AP235">
        <v>0</v>
      </c>
      <c r="AQ235">
        <v>5.04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250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249"/>
        <v>27055.119999999999</v>
      </c>
      <c r="CQ235">
        <f t="shared" si="250"/>
        <v>64.239999999999995</v>
      </c>
      <c r="CR235">
        <f>(((((ET235*2))*BB235-((EU235*2))*BS235)+AE235*BS235)*AV235)</f>
        <v>10.72</v>
      </c>
      <c r="CS235">
        <f t="shared" si="251"/>
        <v>0.14000000000000001</v>
      </c>
      <c r="CT235">
        <f t="shared" si="252"/>
        <v>6688.82</v>
      </c>
      <c r="CU235">
        <f t="shared" si="253"/>
        <v>0</v>
      </c>
      <c r="CV235">
        <f t="shared" si="254"/>
        <v>10.08</v>
      </c>
      <c r="CW235">
        <f t="shared" si="255"/>
        <v>0</v>
      </c>
      <c r="CX235">
        <f t="shared" si="256"/>
        <v>0</v>
      </c>
      <c r="CY235">
        <f t="shared" si="257"/>
        <v>18728.696</v>
      </c>
      <c r="CZ235">
        <f t="shared" si="258"/>
        <v>2675.5279999999998</v>
      </c>
      <c r="DC235" t="s">
        <v>3</v>
      </c>
      <c r="DD235" t="s">
        <v>117</v>
      </c>
      <c r="DE235" t="s">
        <v>117</v>
      </c>
      <c r="DF235" t="s">
        <v>117</v>
      </c>
      <c r="DG235" t="s">
        <v>117</v>
      </c>
      <c r="DH235" t="s">
        <v>3</v>
      </c>
      <c r="DI235" t="s">
        <v>117</v>
      </c>
      <c r="DJ235" t="s">
        <v>117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1013</v>
      </c>
      <c r="DV235" t="s">
        <v>242</v>
      </c>
      <c r="DW235" t="s">
        <v>242</v>
      </c>
      <c r="DX235">
        <v>1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19</v>
      </c>
      <c r="EH235">
        <v>0</v>
      </c>
      <c r="EI235" t="s">
        <v>3</v>
      </c>
      <c r="EJ235">
        <v>4</v>
      </c>
      <c r="EK235">
        <v>0</v>
      </c>
      <c r="EL235" t="s">
        <v>20</v>
      </c>
      <c r="EM235" t="s">
        <v>21</v>
      </c>
      <c r="EO235" t="s">
        <v>3</v>
      </c>
      <c r="EQ235">
        <v>0</v>
      </c>
      <c r="ER235">
        <v>3381.89</v>
      </c>
      <c r="ES235">
        <v>32.119999999999997</v>
      </c>
      <c r="ET235">
        <v>5.36</v>
      </c>
      <c r="EU235">
        <v>7.0000000000000007E-2</v>
      </c>
      <c r="EV235">
        <v>3344.41</v>
      </c>
      <c r="EW235">
        <v>5.04</v>
      </c>
      <c r="EX235">
        <v>0</v>
      </c>
      <c r="EY235">
        <v>0</v>
      </c>
      <c r="FQ235">
        <v>0</v>
      </c>
      <c r="FR235">
        <f t="shared" si="259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1541964264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0.6</v>
      </c>
      <c r="GL235">
        <f t="shared" si="260"/>
        <v>0</v>
      </c>
      <c r="GM235">
        <f t="shared" si="261"/>
        <v>48459.95</v>
      </c>
      <c r="GN235">
        <f t="shared" si="262"/>
        <v>0</v>
      </c>
      <c r="GO235">
        <f t="shared" si="263"/>
        <v>0</v>
      </c>
      <c r="GP235">
        <f t="shared" si="264"/>
        <v>48459.95</v>
      </c>
      <c r="GR235">
        <v>0</v>
      </c>
      <c r="GS235">
        <v>3</v>
      </c>
      <c r="GT235">
        <v>0</v>
      </c>
      <c r="GU235" t="s">
        <v>3</v>
      </c>
      <c r="GV235">
        <f t="shared" si="265"/>
        <v>0</v>
      </c>
      <c r="GW235">
        <v>1</v>
      </c>
      <c r="GX235">
        <f t="shared" si="266"/>
        <v>0</v>
      </c>
      <c r="HA235">
        <v>0</v>
      </c>
      <c r="HB235">
        <v>0</v>
      </c>
      <c r="HC235">
        <f t="shared" si="267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ROW(EtalonRes!A143)</f>
        <v>143</v>
      </c>
      <c r="E236" t="s">
        <v>3</v>
      </c>
      <c r="F236" t="s">
        <v>251</v>
      </c>
      <c r="G236" t="s">
        <v>252</v>
      </c>
      <c r="H236" t="s">
        <v>242</v>
      </c>
      <c r="I236">
        <v>4</v>
      </c>
      <c r="J236">
        <v>0</v>
      </c>
      <c r="K236">
        <v>4</v>
      </c>
      <c r="O236">
        <f t="shared" si="235"/>
        <v>14813.36</v>
      </c>
      <c r="P236">
        <f t="shared" si="236"/>
        <v>12.56</v>
      </c>
      <c r="Q236">
        <f t="shared" si="237"/>
        <v>42.88</v>
      </c>
      <c r="R236">
        <f t="shared" si="238"/>
        <v>0.56000000000000005</v>
      </c>
      <c r="S236">
        <f t="shared" si="239"/>
        <v>14757.92</v>
      </c>
      <c r="T236">
        <f t="shared" si="240"/>
        <v>0</v>
      </c>
      <c r="U236">
        <f t="shared" si="241"/>
        <v>22.24</v>
      </c>
      <c r="V236">
        <f t="shared" si="242"/>
        <v>0</v>
      </c>
      <c r="W236">
        <f t="shared" si="243"/>
        <v>0</v>
      </c>
      <c r="X236">
        <f t="shared" si="244"/>
        <v>10330.540000000001</v>
      </c>
      <c r="Y236">
        <f t="shared" si="245"/>
        <v>1475.79</v>
      </c>
      <c r="AA236">
        <v>-1</v>
      </c>
      <c r="AB236">
        <f t="shared" si="246"/>
        <v>3703.34</v>
      </c>
      <c r="AC236">
        <f>ROUND(((ES236*2)),6)</f>
        <v>3.14</v>
      </c>
      <c r="AD236">
        <f>ROUND(((((ET236*2))-((EU236*2)))+AE236),6)</f>
        <v>10.72</v>
      </c>
      <c r="AE236">
        <f>ROUND(((EU236*2)),6)</f>
        <v>0.14000000000000001</v>
      </c>
      <c r="AF236">
        <f>ROUND(((EV236*2)),6)</f>
        <v>3689.48</v>
      </c>
      <c r="AG236">
        <f t="shared" si="247"/>
        <v>0</v>
      </c>
      <c r="AH236">
        <f>((EW236*2))</f>
        <v>5.56</v>
      </c>
      <c r="AI236">
        <f>((EX236*2))</f>
        <v>0</v>
      </c>
      <c r="AJ236">
        <f t="shared" si="248"/>
        <v>0</v>
      </c>
      <c r="AK236">
        <v>1851.67</v>
      </c>
      <c r="AL236">
        <v>1.57</v>
      </c>
      <c r="AM236">
        <v>5.36</v>
      </c>
      <c r="AN236">
        <v>7.0000000000000007E-2</v>
      </c>
      <c r="AO236">
        <v>1844.74</v>
      </c>
      <c r="AP236">
        <v>0</v>
      </c>
      <c r="AQ236">
        <v>2.78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253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 t="shared" si="249"/>
        <v>14813.36</v>
      </c>
      <c r="CQ236">
        <f t="shared" si="250"/>
        <v>3.14</v>
      </c>
      <c r="CR236">
        <f>(((((ET236*2))*BB236-((EU236*2))*BS236)+AE236*BS236)*AV236)</f>
        <v>10.72</v>
      </c>
      <c r="CS236">
        <f t="shared" si="251"/>
        <v>0.14000000000000001</v>
      </c>
      <c r="CT236">
        <f t="shared" si="252"/>
        <v>3689.48</v>
      </c>
      <c r="CU236">
        <f t="shared" si="253"/>
        <v>0</v>
      </c>
      <c r="CV236">
        <f t="shared" si="254"/>
        <v>5.56</v>
      </c>
      <c r="CW236">
        <f t="shared" si="255"/>
        <v>0</v>
      </c>
      <c r="CX236">
        <f t="shared" si="256"/>
        <v>0</v>
      </c>
      <c r="CY236">
        <f t="shared" si="257"/>
        <v>10330.544</v>
      </c>
      <c r="CZ236">
        <f t="shared" si="258"/>
        <v>1475.7920000000001</v>
      </c>
      <c r="DC236" t="s">
        <v>3</v>
      </c>
      <c r="DD236" t="s">
        <v>117</v>
      </c>
      <c r="DE236" t="s">
        <v>117</v>
      </c>
      <c r="DF236" t="s">
        <v>117</v>
      </c>
      <c r="DG236" t="s">
        <v>117</v>
      </c>
      <c r="DH236" t="s">
        <v>3</v>
      </c>
      <c r="DI236" t="s">
        <v>117</v>
      </c>
      <c r="DJ236" t="s">
        <v>117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1013</v>
      </c>
      <c r="DV236" t="s">
        <v>242</v>
      </c>
      <c r="DW236" t="s">
        <v>242</v>
      </c>
      <c r="DX236">
        <v>1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19</v>
      </c>
      <c r="EH236">
        <v>0</v>
      </c>
      <c r="EI236" t="s">
        <v>3</v>
      </c>
      <c r="EJ236">
        <v>4</v>
      </c>
      <c r="EK236">
        <v>0</v>
      </c>
      <c r="EL236" t="s">
        <v>20</v>
      </c>
      <c r="EM236" t="s">
        <v>21</v>
      </c>
      <c r="EO236" t="s">
        <v>3</v>
      </c>
      <c r="EQ236">
        <v>1024</v>
      </c>
      <c r="ER236">
        <v>1851.67</v>
      </c>
      <c r="ES236">
        <v>1.57</v>
      </c>
      <c r="ET236">
        <v>5.36</v>
      </c>
      <c r="EU236">
        <v>7.0000000000000007E-2</v>
      </c>
      <c r="EV236">
        <v>1844.74</v>
      </c>
      <c r="EW236">
        <v>2.78</v>
      </c>
      <c r="EX236">
        <v>0</v>
      </c>
      <c r="EY236">
        <v>0</v>
      </c>
      <c r="FQ236">
        <v>0</v>
      </c>
      <c r="FR236">
        <f t="shared" si="259"/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-905773843</v>
      </c>
      <c r="GG236">
        <v>2</v>
      </c>
      <c r="GH236">
        <v>1</v>
      </c>
      <c r="GI236">
        <v>-2</v>
      </c>
      <c r="GJ236">
        <v>0</v>
      </c>
      <c r="GK236">
        <f>ROUND(R236*(R12)/100,2)</f>
        <v>0.6</v>
      </c>
      <c r="GL236">
        <f t="shared" si="260"/>
        <v>0</v>
      </c>
      <c r="GM236">
        <f t="shared" si="261"/>
        <v>26620.29</v>
      </c>
      <c r="GN236">
        <f t="shared" si="262"/>
        <v>0</v>
      </c>
      <c r="GO236">
        <f t="shared" si="263"/>
        <v>0</v>
      </c>
      <c r="GP236">
        <f t="shared" si="264"/>
        <v>26620.29</v>
      </c>
      <c r="GR236">
        <v>0</v>
      </c>
      <c r="GS236">
        <v>3</v>
      </c>
      <c r="GT236">
        <v>0</v>
      </c>
      <c r="GU236" t="s">
        <v>3</v>
      </c>
      <c r="GV236">
        <f t="shared" si="265"/>
        <v>0</v>
      </c>
      <c r="GW236">
        <v>1</v>
      </c>
      <c r="GX236">
        <f t="shared" si="266"/>
        <v>0</v>
      </c>
      <c r="HA236">
        <v>0</v>
      </c>
      <c r="HB236">
        <v>0</v>
      </c>
      <c r="HC236">
        <f t="shared" si="267"/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7" spans="1:245" x14ac:dyDescent="0.2">
      <c r="A237">
        <v>17</v>
      </c>
      <c r="B237">
        <v>1</v>
      </c>
      <c r="D237">
        <f>ROW(EtalonRes!A157)</f>
        <v>157</v>
      </c>
      <c r="E237" t="s">
        <v>3</v>
      </c>
      <c r="F237" t="s">
        <v>254</v>
      </c>
      <c r="G237" t="s">
        <v>255</v>
      </c>
      <c r="H237" t="s">
        <v>242</v>
      </c>
      <c r="I237">
        <v>1</v>
      </c>
      <c r="J237">
        <v>0</v>
      </c>
      <c r="K237">
        <v>1</v>
      </c>
      <c r="O237">
        <f t="shared" si="235"/>
        <v>58964.81</v>
      </c>
      <c r="P237">
        <f t="shared" si="236"/>
        <v>3224.09</v>
      </c>
      <c r="Q237">
        <f t="shared" si="237"/>
        <v>0</v>
      </c>
      <c r="R237">
        <f t="shared" si="238"/>
        <v>0</v>
      </c>
      <c r="S237">
        <f t="shared" si="239"/>
        <v>55740.72</v>
      </c>
      <c r="T237">
        <f t="shared" si="240"/>
        <v>0</v>
      </c>
      <c r="U237">
        <f t="shared" si="241"/>
        <v>84</v>
      </c>
      <c r="V237">
        <f t="shared" si="242"/>
        <v>0</v>
      </c>
      <c r="W237">
        <f t="shared" si="243"/>
        <v>0</v>
      </c>
      <c r="X237">
        <f t="shared" si="244"/>
        <v>39018.5</v>
      </c>
      <c r="Y237">
        <f t="shared" si="245"/>
        <v>5574.07</v>
      </c>
      <c r="AA237">
        <v>-1</v>
      </c>
      <c r="AB237">
        <f t="shared" si="246"/>
        <v>58964.81</v>
      </c>
      <c r="AC237">
        <f>ROUND((ES237),6)</f>
        <v>3224.09</v>
      </c>
      <c r="AD237">
        <f>ROUND((((ET237)-(EU237))+AE237),6)</f>
        <v>0</v>
      </c>
      <c r="AE237">
        <f>ROUND((EU237),6)</f>
        <v>0</v>
      </c>
      <c r="AF237">
        <f>ROUND((EV237),6)</f>
        <v>55740.72</v>
      </c>
      <c r="AG237">
        <f t="shared" si="247"/>
        <v>0</v>
      </c>
      <c r="AH237">
        <f>(EW237)</f>
        <v>84</v>
      </c>
      <c r="AI237">
        <f>(EX237)</f>
        <v>0</v>
      </c>
      <c r="AJ237">
        <f t="shared" si="248"/>
        <v>0</v>
      </c>
      <c r="AK237">
        <v>58964.81</v>
      </c>
      <c r="AL237">
        <v>3224.09</v>
      </c>
      <c r="AM237">
        <v>0</v>
      </c>
      <c r="AN237">
        <v>0</v>
      </c>
      <c r="AO237">
        <v>55740.72</v>
      </c>
      <c r="AP237">
        <v>0</v>
      </c>
      <c r="AQ237">
        <v>84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256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 t="shared" si="249"/>
        <v>58964.81</v>
      </c>
      <c r="CQ237">
        <f t="shared" si="250"/>
        <v>3224.09</v>
      </c>
      <c r="CR237">
        <f>((((ET237)*BB237-(EU237)*BS237)+AE237*BS237)*AV237)</f>
        <v>0</v>
      </c>
      <c r="CS237">
        <f t="shared" si="251"/>
        <v>0</v>
      </c>
      <c r="CT237">
        <f t="shared" si="252"/>
        <v>55740.72</v>
      </c>
      <c r="CU237">
        <f t="shared" si="253"/>
        <v>0</v>
      </c>
      <c r="CV237">
        <f t="shared" si="254"/>
        <v>84</v>
      </c>
      <c r="CW237">
        <f t="shared" si="255"/>
        <v>0</v>
      </c>
      <c r="CX237">
        <f t="shared" si="256"/>
        <v>0</v>
      </c>
      <c r="CY237">
        <f t="shared" si="257"/>
        <v>39018.504000000001</v>
      </c>
      <c r="CZ237">
        <f t="shared" si="258"/>
        <v>5574.0719999999992</v>
      </c>
      <c r="DC237" t="s">
        <v>3</v>
      </c>
      <c r="DD237" t="s">
        <v>3</v>
      </c>
      <c r="DE237" t="s">
        <v>3</v>
      </c>
      <c r="DF237" t="s">
        <v>3</v>
      </c>
      <c r="DG237" t="s">
        <v>3</v>
      </c>
      <c r="DH237" t="s">
        <v>3</v>
      </c>
      <c r="DI237" t="s">
        <v>3</v>
      </c>
      <c r="DJ237" t="s">
        <v>3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242</v>
      </c>
      <c r="DW237" t="s">
        <v>242</v>
      </c>
      <c r="DX237">
        <v>1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19</v>
      </c>
      <c r="EH237">
        <v>0</v>
      </c>
      <c r="EI237" t="s">
        <v>3</v>
      </c>
      <c r="EJ237">
        <v>4</v>
      </c>
      <c r="EK237">
        <v>0</v>
      </c>
      <c r="EL237" t="s">
        <v>20</v>
      </c>
      <c r="EM237" t="s">
        <v>21</v>
      </c>
      <c r="EO237" t="s">
        <v>3</v>
      </c>
      <c r="EQ237">
        <v>1024</v>
      </c>
      <c r="ER237">
        <v>58964.81</v>
      </c>
      <c r="ES237">
        <v>3224.09</v>
      </c>
      <c r="ET237">
        <v>0</v>
      </c>
      <c r="EU237">
        <v>0</v>
      </c>
      <c r="EV237">
        <v>55740.72</v>
      </c>
      <c r="EW237">
        <v>84</v>
      </c>
      <c r="EX237">
        <v>0</v>
      </c>
      <c r="EY237">
        <v>0</v>
      </c>
      <c r="FQ237">
        <v>0</v>
      </c>
      <c r="FR237">
        <f t="shared" si="259"/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-1359812122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</v>
      </c>
      <c r="GL237">
        <f t="shared" si="260"/>
        <v>0</v>
      </c>
      <c r="GM237">
        <f t="shared" si="261"/>
        <v>103557.38</v>
      </c>
      <c r="GN237">
        <f t="shared" si="262"/>
        <v>0</v>
      </c>
      <c r="GO237">
        <f t="shared" si="263"/>
        <v>0</v>
      </c>
      <c r="GP237">
        <f t="shared" si="264"/>
        <v>103557.38</v>
      </c>
      <c r="GR237">
        <v>0</v>
      </c>
      <c r="GS237">
        <v>3</v>
      </c>
      <c r="GT237">
        <v>0</v>
      </c>
      <c r="GU237" t="s">
        <v>3</v>
      </c>
      <c r="GV237">
        <f t="shared" si="265"/>
        <v>0</v>
      </c>
      <c r="GW237">
        <v>1</v>
      </c>
      <c r="GX237">
        <f t="shared" si="266"/>
        <v>0</v>
      </c>
      <c r="HA237">
        <v>0</v>
      </c>
      <c r="HB237">
        <v>0</v>
      </c>
      <c r="HC237">
        <f t="shared" si="267"/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17</v>
      </c>
      <c r="B238">
        <v>1</v>
      </c>
      <c r="D238">
        <f>ROW(EtalonRes!A161)</f>
        <v>161</v>
      </c>
      <c r="E238" t="s">
        <v>3</v>
      </c>
      <c r="F238" t="s">
        <v>257</v>
      </c>
      <c r="G238" t="s">
        <v>258</v>
      </c>
      <c r="H238" t="s">
        <v>242</v>
      </c>
      <c r="I238">
        <v>1</v>
      </c>
      <c r="J238">
        <v>0</v>
      </c>
      <c r="K238">
        <v>1</v>
      </c>
      <c r="O238">
        <f t="shared" si="235"/>
        <v>4747.07</v>
      </c>
      <c r="P238">
        <f t="shared" si="236"/>
        <v>13.49</v>
      </c>
      <c r="Q238">
        <f t="shared" si="237"/>
        <v>8.93</v>
      </c>
      <c r="R238">
        <f t="shared" si="238"/>
        <v>0.12</v>
      </c>
      <c r="S238">
        <f t="shared" si="239"/>
        <v>4724.6499999999996</v>
      </c>
      <c r="T238">
        <f t="shared" si="240"/>
        <v>0</v>
      </c>
      <c r="U238">
        <f t="shared" si="241"/>
        <v>7.12</v>
      </c>
      <c r="V238">
        <f t="shared" si="242"/>
        <v>0</v>
      </c>
      <c r="W238">
        <f t="shared" si="243"/>
        <v>0</v>
      </c>
      <c r="X238">
        <f t="shared" si="244"/>
        <v>3307.26</v>
      </c>
      <c r="Y238">
        <f t="shared" si="245"/>
        <v>472.47</v>
      </c>
      <c r="AA238">
        <v>-1</v>
      </c>
      <c r="AB238">
        <f t="shared" si="246"/>
        <v>4747.07</v>
      </c>
      <c r="AC238">
        <f>ROUND((ES238),6)</f>
        <v>13.49</v>
      </c>
      <c r="AD238">
        <f>ROUND((((ET238)-(EU238))+AE238),6)</f>
        <v>8.93</v>
      </c>
      <c r="AE238">
        <f>ROUND((EU238),6)</f>
        <v>0.12</v>
      </c>
      <c r="AF238">
        <f>ROUND((EV238),6)</f>
        <v>4724.6499999999996</v>
      </c>
      <c r="AG238">
        <f t="shared" si="247"/>
        <v>0</v>
      </c>
      <c r="AH238">
        <f>(EW238)</f>
        <v>7.12</v>
      </c>
      <c r="AI238">
        <f>(EX238)</f>
        <v>0</v>
      </c>
      <c r="AJ238">
        <f t="shared" si="248"/>
        <v>0</v>
      </c>
      <c r="AK238">
        <v>4747.07</v>
      </c>
      <c r="AL238">
        <v>13.49</v>
      </c>
      <c r="AM238">
        <v>8.93</v>
      </c>
      <c r="AN238">
        <v>0.12</v>
      </c>
      <c r="AO238">
        <v>4724.6499999999996</v>
      </c>
      <c r="AP238">
        <v>0</v>
      </c>
      <c r="AQ238">
        <v>7.12</v>
      </c>
      <c r="AR238">
        <v>0</v>
      </c>
      <c r="AS238">
        <v>0</v>
      </c>
      <c r="AT238">
        <v>70</v>
      </c>
      <c r="AU238">
        <v>10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3</v>
      </c>
      <c r="BE238" t="s">
        <v>3</v>
      </c>
      <c r="BF238" t="s">
        <v>3</v>
      </c>
      <c r="BG238" t="s">
        <v>3</v>
      </c>
      <c r="BH238">
        <v>0</v>
      </c>
      <c r="BI238">
        <v>4</v>
      </c>
      <c r="BJ238" t="s">
        <v>259</v>
      </c>
      <c r="BM238">
        <v>0</v>
      </c>
      <c r="BN238">
        <v>0</v>
      </c>
      <c r="BO238" t="s">
        <v>3</v>
      </c>
      <c r="BP238">
        <v>0</v>
      </c>
      <c r="BQ238">
        <v>1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3</v>
      </c>
      <c r="BZ238">
        <v>70</v>
      </c>
      <c r="CA238">
        <v>10</v>
      </c>
      <c r="CB238" t="s">
        <v>3</v>
      </c>
      <c r="CE238">
        <v>0</v>
      </c>
      <c r="CF238">
        <v>0</v>
      </c>
      <c r="CG238">
        <v>0</v>
      </c>
      <c r="CM238">
        <v>0</v>
      </c>
      <c r="CN238" t="s">
        <v>3</v>
      </c>
      <c r="CO238">
        <v>0</v>
      </c>
      <c r="CP238">
        <f t="shared" si="249"/>
        <v>4747.07</v>
      </c>
      <c r="CQ238">
        <f t="shared" si="250"/>
        <v>13.49</v>
      </c>
      <c r="CR238">
        <f>((((ET238)*BB238-(EU238)*BS238)+AE238*BS238)*AV238)</f>
        <v>8.93</v>
      </c>
      <c r="CS238">
        <f t="shared" si="251"/>
        <v>0.12</v>
      </c>
      <c r="CT238">
        <f t="shared" si="252"/>
        <v>4724.6499999999996</v>
      </c>
      <c r="CU238">
        <f t="shared" si="253"/>
        <v>0</v>
      </c>
      <c r="CV238">
        <f t="shared" si="254"/>
        <v>7.12</v>
      </c>
      <c r="CW238">
        <f t="shared" si="255"/>
        <v>0</v>
      </c>
      <c r="CX238">
        <f t="shared" si="256"/>
        <v>0</v>
      </c>
      <c r="CY238">
        <f t="shared" si="257"/>
        <v>3307.2550000000001</v>
      </c>
      <c r="CZ238">
        <f t="shared" si="258"/>
        <v>472.46499999999997</v>
      </c>
      <c r="DC238" t="s">
        <v>3</v>
      </c>
      <c r="DD238" t="s">
        <v>3</v>
      </c>
      <c r="DE238" t="s">
        <v>3</v>
      </c>
      <c r="DF238" t="s">
        <v>3</v>
      </c>
      <c r="DG238" t="s">
        <v>3</v>
      </c>
      <c r="DH238" t="s">
        <v>3</v>
      </c>
      <c r="DI238" t="s">
        <v>3</v>
      </c>
      <c r="DJ238" t="s">
        <v>3</v>
      </c>
      <c r="DK238" t="s">
        <v>3</v>
      </c>
      <c r="DL238" t="s">
        <v>3</v>
      </c>
      <c r="DM238" t="s">
        <v>3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242</v>
      </c>
      <c r="DW238" t="s">
        <v>242</v>
      </c>
      <c r="DX238">
        <v>1</v>
      </c>
      <c r="DZ238" t="s">
        <v>3</v>
      </c>
      <c r="EA238" t="s">
        <v>3</v>
      </c>
      <c r="EB238" t="s">
        <v>3</v>
      </c>
      <c r="EC238" t="s">
        <v>3</v>
      </c>
      <c r="EE238">
        <v>1441815344</v>
      </c>
      <c r="EF238">
        <v>1</v>
      </c>
      <c r="EG238" t="s">
        <v>19</v>
      </c>
      <c r="EH238">
        <v>0</v>
      </c>
      <c r="EI238" t="s">
        <v>3</v>
      </c>
      <c r="EJ238">
        <v>4</v>
      </c>
      <c r="EK238">
        <v>0</v>
      </c>
      <c r="EL238" t="s">
        <v>20</v>
      </c>
      <c r="EM238" t="s">
        <v>21</v>
      </c>
      <c r="EO238" t="s">
        <v>3</v>
      </c>
      <c r="EQ238">
        <v>1311744</v>
      </c>
      <c r="ER238">
        <v>4747.07</v>
      </c>
      <c r="ES238">
        <v>13.49</v>
      </c>
      <c r="ET238">
        <v>8.93</v>
      </c>
      <c r="EU238">
        <v>0.12</v>
      </c>
      <c r="EV238">
        <v>4724.6499999999996</v>
      </c>
      <c r="EW238">
        <v>7.12</v>
      </c>
      <c r="EX238">
        <v>0</v>
      </c>
      <c r="EY238">
        <v>0</v>
      </c>
      <c r="FQ238">
        <v>0</v>
      </c>
      <c r="FR238">
        <f t="shared" si="259"/>
        <v>0</v>
      </c>
      <c r="FS238">
        <v>0</v>
      </c>
      <c r="FX238">
        <v>70</v>
      </c>
      <c r="FY238">
        <v>10</v>
      </c>
      <c r="GA238" t="s">
        <v>3</v>
      </c>
      <c r="GD238">
        <v>0</v>
      </c>
      <c r="GF238">
        <v>867836691</v>
      </c>
      <c r="GG238">
        <v>2</v>
      </c>
      <c r="GH238">
        <v>1</v>
      </c>
      <c r="GI238">
        <v>-2</v>
      </c>
      <c r="GJ238">
        <v>0</v>
      </c>
      <c r="GK238">
        <f>ROUND(R238*(R12)/100,2)</f>
        <v>0.13</v>
      </c>
      <c r="GL238">
        <f t="shared" si="260"/>
        <v>0</v>
      </c>
      <c r="GM238">
        <f t="shared" si="261"/>
        <v>8526.93</v>
      </c>
      <c r="GN238">
        <f t="shared" si="262"/>
        <v>0</v>
      </c>
      <c r="GO238">
        <f t="shared" si="263"/>
        <v>0</v>
      </c>
      <c r="GP238">
        <f t="shared" si="264"/>
        <v>8526.93</v>
      </c>
      <c r="GR238">
        <v>0</v>
      </c>
      <c r="GS238">
        <v>3</v>
      </c>
      <c r="GT238">
        <v>0</v>
      </c>
      <c r="GU238" t="s">
        <v>3</v>
      </c>
      <c r="GV238">
        <f t="shared" si="265"/>
        <v>0</v>
      </c>
      <c r="GW238">
        <v>1</v>
      </c>
      <c r="GX238">
        <f t="shared" si="266"/>
        <v>0</v>
      </c>
      <c r="HA238">
        <v>0</v>
      </c>
      <c r="HB238">
        <v>0</v>
      </c>
      <c r="HC238">
        <f t="shared" si="267"/>
        <v>0</v>
      </c>
      <c r="HE238" t="s">
        <v>3</v>
      </c>
      <c r="HF238" t="s">
        <v>3</v>
      </c>
      <c r="HM238" t="s">
        <v>3</v>
      </c>
      <c r="HN238" t="s">
        <v>3</v>
      </c>
      <c r="HO238" t="s">
        <v>3</v>
      </c>
      <c r="HP238" t="s">
        <v>3</v>
      </c>
      <c r="HQ238" t="s">
        <v>3</v>
      </c>
      <c r="IK238">
        <v>0</v>
      </c>
    </row>
    <row r="239" spans="1:245" x14ac:dyDescent="0.2">
      <c r="A239">
        <v>17</v>
      </c>
      <c r="B239">
        <v>1</v>
      </c>
      <c r="D239">
        <f>ROW(EtalonRes!A164)</f>
        <v>164</v>
      </c>
      <c r="E239" t="s">
        <v>260</v>
      </c>
      <c r="F239" t="s">
        <v>261</v>
      </c>
      <c r="G239" t="s">
        <v>262</v>
      </c>
      <c r="H239" t="s">
        <v>242</v>
      </c>
      <c r="I239">
        <v>1</v>
      </c>
      <c r="J239">
        <v>0</v>
      </c>
      <c r="K239">
        <v>1</v>
      </c>
      <c r="O239">
        <f t="shared" si="235"/>
        <v>4191</v>
      </c>
      <c r="P239">
        <f t="shared" si="236"/>
        <v>20.16</v>
      </c>
      <c r="Q239">
        <f t="shared" si="237"/>
        <v>3.58</v>
      </c>
      <c r="R239">
        <f t="shared" si="238"/>
        <v>0.04</v>
      </c>
      <c r="S239">
        <f t="shared" si="239"/>
        <v>4167.26</v>
      </c>
      <c r="T239">
        <f t="shared" si="240"/>
        <v>0</v>
      </c>
      <c r="U239">
        <f t="shared" si="241"/>
        <v>6.28</v>
      </c>
      <c r="V239">
        <f t="shared" si="242"/>
        <v>0</v>
      </c>
      <c r="W239">
        <f t="shared" si="243"/>
        <v>0</v>
      </c>
      <c r="X239">
        <f t="shared" si="244"/>
        <v>2917.08</v>
      </c>
      <c r="Y239">
        <f t="shared" si="245"/>
        <v>416.73</v>
      </c>
      <c r="AA239">
        <v>1471988752</v>
      </c>
      <c r="AB239">
        <f t="shared" si="246"/>
        <v>4191</v>
      </c>
      <c r="AC239">
        <f>ROUND(((ES239*2)),6)</f>
        <v>20.16</v>
      </c>
      <c r="AD239">
        <f>ROUND(((((ET239*2))-((EU239*2)))+AE239),6)</f>
        <v>3.58</v>
      </c>
      <c r="AE239">
        <f>ROUND(((EU239*2)),6)</f>
        <v>0.04</v>
      </c>
      <c r="AF239">
        <f>ROUND(((EV239*2)),6)</f>
        <v>4167.26</v>
      </c>
      <c r="AG239">
        <f t="shared" si="247"/>
        <v>0</v>
      </c>
      <c r="AH239">
        <f>((EW239*2))</f>
        <v>6.28</v>
      </c>
      <c r="AI239">
        <f>((EX239*2))</f>
        <v>0</v>
      </c>
      <c r="AJ239">
        <f t="shared" si="248"/>
        <v>0</v>
      </c>
      <c r="AK239">
        <v>2095.5</v>
      </c>
      <c r="AL239">
        <v>10.08</v>
      </c>
      <c r="AM239">
        <v>1.79</v>
      </c>
      <c r="AN239">
        <v>0.02</v>
      </c>
      <c r="AO239">
        <v>2083.63</v>
      </c>
      <c r="AP239">
        <v>0</v>
      </c>
      <c r="AQ239">
        <v>3.14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263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 t="shared" si="249"/>
        <v>4191</v>
      </c>
      <c r="CQ239">
        <f t="shared" si="250"/>
        <v>20.16</v>
      </c>
      <c r="CR239">
        <f>(((((ET239*2))*BB239-((EU239*2))*BS239)+AE239*BS239)*AV239)</f>
        <v>3.58</v>
      </c>
      <c r="CS239">
        <f t="shared" si="251"/>
        <v>0.04</v>
      </c>
      <c r="CT239">
        <f t="shared" si="252"/>
        <v>4167.26</v>
      </c>
      <c r="CU239">
        <f t="shared" si="253"/>
        <v>0</v>
      </c>
      <c r="CV239">
        <f t="shared" si="254"/>
        <v>6.28</v>
      </c>
      <c r="CW239">
        <f t="shared" si="255"/>
        <v>0</v>
      </c>
      <c r="CX239">
        <f t="shared" si="256"/>
        <v>0</v>
      </c>
      <c r="CY239">
        <f t="shared" si="257"/>
        <v>2917.0820000000003</v>
      </c>
      <c r="CZ239">
        <f t="shared" si="258"/>
        <v>416.72600000000006</v>
      </c>
      <c r="DC239" t="s">
        <v>3</v>
      </c>
      <c r="DD239" t="s">
        <v>117</v>
      </c>
      <c r="DE239" t="s">
        <v>117</v>
      </c>
      <c r="DF239" t="s">
        <v>117</v>
      </c>
      <c r="DG239" t="s">
        <v>117</v>
      </c>
      <c r="DH239" t="s">
        <v>3</v>
      </c>
      <c r="DI239" t="s">
        <v>117</v>
      </c>
      <c r="DJ239" t="s">
        <v>117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242</v>
      </c>
      <c r="DW239" t="s">
        <v>242</v>
      </c>
      <c r="DX239">
        <v>1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19</v>
      </c>
      <c r="EH239">
        <v>0</v>
      </c>
      <c r="EI239" t="s">
        <v>3</v>
      </c>
      <c r="EJ239">
        <v>4</v>
      </c>
      <c r="EK239">
        <v>0</v>
      </c>
      <c r="EL239" t="s">
        <v>20</v>
      </c>
      <c r="EM239" t="s">
        <v>21</v>
      </c>
      <c r="EO239" t="s">
        <v>3</v>
      </c>
      <c r="EQ239">
        <v>0</v>
      </c>
      <c r="ER239">
        <v>2095.5</v>
      </c>
      <c r="ES239">
        <v>10.08</v>
      </c>
      <c r="ET239">
        <v>1.79</v>
      </c>
      <c r="EU239">
        <v>0.02</v>
      </c>
      <c r="EV239">
        <v>2083.63</v>
      </c>
      <c r="EW239">
        <v>3.14</v>
      </c>
      <c r="EX239">
        <v>0</v>
      </c>
      <c r="EY239">
        <v>0</v>
      </c>
      <c r="FQ239">
        <v>0</v>
      </c>
      <c r="FR239">
        <f t="shared" si="259"/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984652662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0.04</v>
      </c>
      <c r="GL239">
        <f t="shared" si="260"/>
        <v>0</v>
      </c>
      <c r="GM239">
        <f t="shared" si="261"/>
        <v>7524.85</v>
      </c>
      <c r="GN239">
        <f t="shared" si="262"/>
        <v>0</v>
      </c>
      <c r="GO239">
        <f t="shared" si="263"/>
        <v>0</v>
      </c>
      <c r="GP239">
        <f t="shared" si="264"/>
        <v>7524.85</v>
      </c>
      <c r="GR239">
        <v>0</v>
      </c>
      <c r="GS239">
        <v>3</v>
      </c>
      <c r="GT239">
        <v>0</v>
      </c>
      <c r="GU239" t="s">
        <v>3</v>
      </c>
      <c r="GV239">
        <f t="shared" si="265"/>
        <v>0</v>
      </c>
      <c r="GW239">
        <v>1</v>
      </c>
      <c r="GX239">
        <f t="shared" si="266"/>
        <v>0</v>
      </c>
      <c r="HA239">
        <v>0</v>
      </c>
      <c r="HB239">
        <v>0</v>
      </c>
      <c r="HC239">
        <f t="shared" si="267"/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D240">
        <f>ROW(EtalonRes!A167)</f>
        <v>167</v>
      </c>
      <c r="E240" t="s">
        <v>3</v>
      </c>
      <c r="F240" t="s">
        <v>264</v>
      </c>
      <c r="G240" t="s">
        <v>265</v>
      </c>
      <c r="H240" t="s">
        <v>242</v>
      </c>
      <c r="I240">
        <v>1</v>
      </c>
      <c r="J240">
        <v>0</v>
      </c>
      <c r="K240">
        <v>1</v>
      </c>
      <c r="O240">
        <f t="shared" si="235"/>
        <v>2075.1799999999998</v>
      </c>
      <c r="P240">
        <f t="shared" si="236"/>
        <v>1.26</v>
      </c>
      <c r="Q240">
        <f t="shared" si="237"/>
        <v>3.58</v>
      </c>
      <c r="R240">
        <f t="shared" si="238"/>
        <v>0.04</v>
      </c>
      <c r="S240">
        <f t="shared" si="239"/>
        <v>2070.34</v>
      </c>
      <c r="T240">
        <f t="shared" si="240"/>
        <v>0</v>
      </c>
      <c r="U240">
        <f t="shared" si="241"/>
        <v>3.12</v>
      </c>
      <c r="V240">
        <f t="shared" si="242"/>
        <v>0</v>
      </c>
      <c r="W240">
        <f t="shared" si="243"/>
        <v>0</v>
      </c>
      <c r="X240">
        <f t="shared" si="244"/>
        <v>1449.24</v>
      </c>
      <c r="Y240">
        <f t="shared" si="245"/>
        <v>207.03</v>
      </c>
      <c r="AA240">
        <v>-1</v>
      </c>
      <c r="AB240">
        <f t="shared" si="246"/>
        <v>2075.1799999999998</v>
      </c>
      <c r="AC240">
        <f>ROUND(((ES240*2)),6)</f>
        <v>1.26</v>
      </c>
      <c r="AD240">
        <f>ROUND(((((ET240*2))-((EU240*2)))+AE240),6)</f>
        <v>3.58</v>
      </c>
      <c r="AE240">
        <f>ROUND(((EU240*2)),6)</f>
        <v>0.04</v>
      </c>
      <c r="AF240">
        <f>ROUND(((EV240*2)),6)</f>
        <v>2070.34</v>
      </c>
      <c r="AG240">
        <f t="shared" si="247"/>
        <v>0</v>
      </c>
      <c r="AH240">
        <f>((EW240*2))</f>
        <v>3.12</v>
      </c>
      <c r="AI240">
        <f>((EX240*2))</f>
        <v>0</v>
      </c>
      <c r="AJ240">
        <f t="shared" si="248"/>
        <v>0</v>
      </c>
      <c r="AK240">
        <v>1037.5899999999999</v>
      </c>
      <c r="AL240">
        <v>0.63</v>
      </c>
      <c r="AM240">
        <v>1.79</v>
      </c>
      <c r="AN240">
        <v>0.02</v>
      </c>
      <c r="AO240">
        <v>1035.17</v>
      </c>
      <c r="AP240">
        <v>0</v>
      </c>
      <c r="AQ240">
        <v>1.56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266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 t="shared" si="249"/>
        <v>2075.1800000000003</v>
      </c>
      <c r="CQ240">
        <f t="shared" si="250"/>
        <v>1.26</v>
      </c>
      <c r="CR240">
        <f>(((((ET240*2))*BB240-((EU240*2))*BS240)+AE240*BS240)*AV240)</f>
        <v>3.58</v>
      </c>
      <c r="CS240">
        <f t="shared" si="251"/>
        <v>0.04</v>
      </c>
      <c r="CT240">
        <f t="shared" si="252"/>
        <v>2070.34</v>
      </c>
      <c r="CU240">
        <f t="shared" si="253"/>
        <v>0</v>
      </c>
      <c r="CV240">
        <f t="shared" si="254"/>
        <v>3.12</v>
      </c>
      <c r="CW240">
        <f t="shared" si="255"/>
        <v>0</v>
      </c>
      <c r="CX240">
        <f t="shared" si="256"/>
        <v>0</v>
      </c>
      <c r="CY240">
        <f t="shared" si="257"/>
        <v>1449.2380000000003</v>
      </c>
      <c r="CZ240">
        <f t="shared" si="258"/>
        <v>207.03400000000002</v>
      </c>
      <c r="DC240" t="s">
        <v>3</v>
      </c>
      <c r="DD240" t="s">
        <v>117</v>
      </c>
      <c r="DE240" t="s">
        <v>117</v>
      </c>
      <c r="DF240" t="s">
        <v>117</v>
      </c>
      <c r="DG240" t="s">
        <v>117</v>
      </c>
      <c r="DH240" t="s">
        <v>3</v>
      </c>
      <c r="DI240" t="s">
        <v>117</v>
      </c>
      <c r="DJ240" t="s">
        <v>117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242</v>
      </c>
      <c r="DW240" t="s">
        <v>242</v>
      </c>
      <c r="DX240">
        <v>1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19</v>
      </c>
      <c r="EH240">
        <v>0</v>
      </c>
      <c r="EI240" t="s">
        <v>3</v>
      </c>
      <c r="EJ240">
        <v>4</v>
      </c>
      <c r="EK240">
        <v>0</v>
      </c>
      <c r="EL240" t="s">
        <v>20</v>
      </c>
      <c r="EM240" t="s">
        <v>21</v>
      </c>
      <c r="EO240" t="s">
        <v>3</v>
      </c>
      <c r="EQ240">
        <v>1024</v>
      </c>
      <c r="ER240">
        <v>1037.5899999999999</v>
      </c>
      <c r="ES240">
        <v>0.63</v>
      </c>
      <c r="ET240">
        <v>1.79</v>
      </c>
      <c r="EU240">
        <v>0.02</v>
      </c>
      <c r="EV240">
        <v>1035.17</v>
      </c>
      <c r="EW240">
        <v>1.56</v>
      </c>
      <c r="EX240">
        <v>0</v>
      </c>
      <c r="EY240">
        <v>0</v>
      </c>
      <c r="FQ240">
        <v>0</v>
      </c>
      <c r="FR240">
        <f t="shared" si="259"/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1684339458</v>
      </c>
      <c r="GG240">
        <v>2</v>
      </c>
      <c r="GH240">
        <v>1</v>
      </c>
      <c r="GI240">
        <v>-2</v>
      </c>
      <c r="GJ240">
        <v>0</v>
      </c>
      <c r="GK240">
        <f>ROUND(R240*(R12)/100,2)</f>
        <v>0.04</v>
      </c>
      <c r="GL240">
        <f t="shared" si="260"/>
        <v>0</v>
      </c>
      <c r="GM240">
        <f t="shared" si="261"/>
        <v>3731.49</v>
      </c>
      <c r="GN240">
        <f t="shared" si="262"/>
        <v>0</v>
      </c>
      <c r="GO240">
        <f t="shared" si="263"/>
        <v>0</v>
      </c>
      <c r="GP240">
        <f t="shared" si="264"/>
        <v>3731.49</v>
      </c>
      <c r="GR240">
        <v>0</v>
      </c>
      <c r="GS240">
        <v>3</v>
      </c>
      <c r="GT240">
        <v>0</v>
      </c>
      <c r="GU240" t="s">
        <v>3</v>
      </c>
      <c r="GV240">
        <f t="shared" si="265"/>
        <v>0</v>
      </c>
      <c r="GW240">
        <v>1</v>
      </c>
      <c r="GX240">
        <f t="shared" si="266"/>
        <v>0</v>
      </c>
      <c r="HA240">
        <v>0</v>
      </c>
      <c r="HB240">
        <v>0</v>
      </c>
      <c r="HC240">
        <f t="shared" si="267"/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ROW(EtalonRes!A171)</f>
        <v>171</v>
      </c>
      <c r="E241" t="s">
        <v>3</v>
      </c>
      <c r="F241" t="s">
        <v>267</v>
      </c>
      <c r="G241" t="s">
        <v>268</v>
      </c>
      <c r="H241" t="s">
        <v>31</v>
      </c>
      <c r="I241">
        <v>1</v>
      </c>
      <c r="J241">
        <v>0</v>
      </c>
      <c r="K241">
        <v>1</v>
      </c>
      <c r="O241">
        <f t="shared" si="235"/>
        <v>9410.74</v>
      </c>
      <c r="P241">
        <f t="shared" si="236"/>
        <v>326.95</v>
      </c>
      <c r="Q241">
        <f t="shared" si="237"/>
        <v>3214.99</v>
      </c>
      <c r="R241">
        <f t="shared" si="238"/>
        <v>2024.88</v>
      </c>
      <c r="S241">
        <f t="shared" si="239"/>
        <v>5868.8</v>
      </c>
      <c r="T241">
        <f t="shared" si="240"/>
        <v>0</v>
      </c>
      <c r="U241">
        <f t="shared" si="241"/>
        <v>9.6</v>
      </c>
      <c r="V241">
        <f t="shared" si="242"/>
        <v>0</v>
      </c>
      <c r="W241">
        <f t="shared" si="243"/>
        <v>0</v>
      </c>
      <c r="X241">
        <f t="shared" si="244"/>
        <v>4108.16</v>
      </c>
      <c r="Y241">
        <f t="shared" si="245"/>
        <v>586.88</v>
      </c>
      <c r="AA241">
        <v>-1</v>
      </c>
      <c r="AB241">
        <f t="shared" si="246"/>
        <v>9410.74</v>
      </c>
      <c r="AC241">
        <f>ROUND((ES241),6)</f>
        <v>326.95</v>
      </c>
      <c r="AD241">
        <f>ROUND((((ET241)-(EU241))+AE241),6)</f>
        <v>3214.99</v>
      </c>
      <c r="AE241">
        <f t="shared" ref="AE241:AF243" si="268">ROUND((EU241),6)</f>
        <v>2024.88</v>
      </c>
      <c r="AF241">
        <f t="shared" si="268"/>
        <v>5868.8</v>
      </c>
      <c r="AG241">
        <f t="shared" si="247"/>
        <v>0</v>
      </c>
      <c r="AH241">
        <f t="shared" ref="AH241:AI243" si="269">(EW241)</f>
        <v>9.6</v>
      </c>
      <c r="AI241">
        <f t="shared" si="269"/>
        <v>0</v>
      </c>
      <c r="AJ241">
        <f t="shared" si="248"/>
        <v>0</v>
      </c>
      <c r="AK241">
        <v>9410.74</v>
      </c>
      <c r="AL241">
        <v>326.95</v>
      </c>
      <c r="AM241">
        <v>3214.99</v>
      </c>
      <c r="AN241">
        <v>2024.88</v>
      </c>
      <c r="AO241">
        <v>5868.8</v>
      </c>
      <c r="AP241">
        <v>0</v>
      </c>
      <c r="AQ241">
        <v>9.6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269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 t="shared" si="249"/>
        <v>9410.74</v>
      </c>
      <c r="CQ241">
        <f t="shared" si="250"/>
        <v>326.95</v>
      </c>
      <c r="CR241">
        <f>((((ET241)*BB241-(EU241)*BS241)+AE241*BS241)*AV241)</f>
        <v>3214.99</v>
      </c>
      <c r="CS241">
        <f t="shared" si="251"/>
        <v>2024.88</v>
      </c>
      <c r="CT241">
        <f t="shared" si="252"/>
        <v>5868.8</v>
      </c>
      <c r="CU241">
        <f t="shared" si="253"/>
        <v>0</v>
      </c>
      <c r="CV241">
        <f t="shared" si="254"/>
        <v>9.6</v>
      </c>
      <c r="CW241">
        <f t="shared" si="255"/>
        <v>0</v>
      </c>
      <c r="CX241">
        <f t="shared" si="256"/>
        <v>0</v>
      </c>
      <c r="CY241">
        <f t="shared" si="257"/>
        <v>4108.16</v>
      </c>
      <c r="CZ241">
        <f t="shared" si="258"/>
        <v>586.88</v>
      </c>
      <c r="DC241" t="s">
        <v>3</v>
      </c>
      <c r="DD241" t="s">
        <v>3</v>
      </c>
      <c r="DE241" t="s">
        <v>3</v>
      </c>
      <c r="DF241" t="s">
        <v>3</v>
      </c>
      <c r="DG241" t="s">
        <v>3</v>
      </c>
      <c r="DH241" t="s">
        <v>3</v>
      </c>
      <c r="DI241" t="s">
        <v>3</v>
      </c>
      <c r="DJ241" t="s">
        <v>3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16987630</v>
      </c>
      <c r="DV241" t="s">
        <v>31</v>
      </c>
      <c r="DW241" t="s">
        <v>31</v>
      </c>
      <c r="DX241">
        <v>1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19</v>
      </c>
      <c r="EH241">
        <v>0</v>
      </c>
      <c r="EI241" t="s">
        <v>3</v>
      </c>
      <c r="EJ241">
        <v>4</v>
      </c>
      <c r="EK241">
        <v>0</v>
      </c>
      <c r="EL241" t="s">
        <v>20</v>
      </c>
      <c r="EM241" t="s">
        <v>21</v>
      </c>
      <c r="EO241" t="s">
        <v>3</v>
      </c>
      <c r="EQ241">
        <v>1311744</v>
      </c>
      <c r="ER241">
        <v>9410.74</v>
      </c>
      <c r="ES241">
        <v>326.95</v>
      </c>
      <c r="ET241">
        <v>3214.99</v>
      </c>
      <c r="EU241">
        <v>2024.88</v>
      </c>
      <c r="EV241">
        <v>5868.8</v>
      </c>
      <c r="EW241">
        <v>9.6</v>
      </c>
      <c r="EX241">
        <v>0</v>
      </c>
      <c r="EY241">
        <v>0</v>
      </c>
      <c r="FQ241">
        <v>0</v>
      </c>
      <c r="FR241">
        <f t="shared" si="259"/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-939616904</v>
      </c>
      <c r="GG241">
        <v>2</v>
      </c>
      <c r="GH241">
        <v>1</v>
      </c>
      <c r="GI241">
        <v>-2</v>
      </c>
      <c r="GJ241">
        <v>0</v>
      </c>
      <c r="GK241">
        <f>ROUND(R241*(R12)/100,2)</f>
        <v>2186.87</v>
      </c>
      <c r="GL241">
        <f t="shared" si="260"/>
        <v>0</v>
      </c>
      <c r="GM241">
        <f t="shared" si="261"/>
        <v>16292.65</v>
      </c>
      <c r="GN241">
        <f t="shared" si="262"/>
        <v>0</v>
      </c>
      <c r="GO241">
        <f t="shared" si="263"/>
        <v>0</v>
      </c>
      <c r="GP241">
        <f t="shared" si="264"/>
        <v>16292.65</v>
      </c>
      <c r="GR241">
        <v>0</v>
      </c>
      <c r="GS241">
        <v>3</v>
      </c>
      <c r="GT241">
        <v>0</v>
      </c>
      <c r="GU241" t="s">
        <v>3</v>
      </c>
      <c r="GV241">
        <f t="shared" si="265"/>
        <v>0</v>
      </c>
      <c r="GW241">
        <v>1</v>
      </c>
      <c r="GX241">
        <f t="shared" si="266"/>
        <v>0</v>
      </c>
      <c r="HA241">
        <v>0</v>
      </c>
      <c r="HB241">
        <v>0</v>
      </c>
      <c r="HC241">
        <f t="shared" si="267"/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ROW(EtalonRes!A181)</f>
        <v>181</v>
      </c>
      <c r="E242" t="s">
        <v>3</v>
      </c>
      <c r="F242" t="s">
        <v>270</v>
      </c>
      <c r="G242" t="s">
        <v>271</v>
      </c>
      <c r="H242" t="s">
        <v>242</v>
      </c>
      <c r="I242">
        <v>4</v>
      </c>
      <c r="J242">
        <v>0</v>
      </c>
      <c r="K242">
        <v>4</v>
      </c>
      <c r="O242">
        <f t="shared" si="235"/>
        <v>158889.44</v>
      </c>
      <c r="P242">
        <f t="shared" si="236"/>
        <v>3281.96</v>
      </c>
      <c r="Q242">
        <f t="shared" si="237"/>
        <v>0</v>
      </c>
      <c r="R242">
        <f t="shared" si="238"/>
        <v>0</v>
      </c>
      <c r="S242">
        <f t="shared" si="239"/>
        <v>155607.48000000001</v>
      </c>
      <c r="T242">
        <f t="shared" si="240"/>
        <v>0</v>
      </c>
      <c r="U242">
        <f t="shared" si="241"/>
        <v>252</v>
      </c>
      <c r="V242">
        <f t="shared" si="242"/>
        <v>0</v>
      </c>
      <c r="W242">
        <f t="shared" si="243"/>
        <v>0</v>
      </c>
      <c r="X242">
        <f t="shared" si="244"/>
        <v>108925.24</v>
      </c>
      <c r="Y242">
        <f t="shared" si="245"/>
        <v>15560.75</v>
      </c>
      <c r="AA242">
        <v>-1</v>
      </c>
      <c r="AB242">
        <f t="shared" si="246"/>
        <v>39722.36</v>
      </c>
      <c r="AC242">
        <f>ROUND((ES242),6)</f>
        <v>820.49</v>
      </c>
      <c r="AD242">
        <f>ROUND((((ET242)-(EU242))+AE242),6)</f>
        <v>0</v>
      </c>
      <c r="AE242">
        <f t="shared" si="268"/>
        <v>0</v>
      </c>
      <c r="AF242">
        <f t="shared" si="268"/>
        <v>38901.870000000003</v>
      </c>
      <c r="AG242">
        <f t="shared" si="247"/>
        <v>0</v>
      </c>
      <c r="AH242">
        <f t="shared" si="269"/>
        <v>63</v>
      </c>
      <c r="AI242">
        <f t="shared" si="269"/>
        <v>0</v>
      </c>
      <c r="AJ242">
        <f t="shared" si="248"/>
        <v>0</v>
      </c>
      <c r="AK242">
        <v>39722.36</v>
      </c>
      <c r="AL242">
        <v>820.49</v>
      </c>
      <c r="AM242">
        <v>0</v>
      </c>
      <c r="AN242">
        <v>0</v>
      </c>
      <c r="AO242">
        <v>38901.870000000003</v>
      </c>
      <c r="AP242">
        <v>0</v>
      </c>
      <c r="AQ242">
        <v>63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272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 t="shared" si="249"/>
        <v>158889.44</v>
      </c>
      <c r="CQ242">
        <f t="shared" si="250"/>
        <v>820.49</v>
      </c>
      <c r="CR242">
        <f>((((ET242)*BB242-(EU242)*BS242)+AE242*BS242)*AV242)</f>
        <v>0</v>
      </c>
      <c r="CS242">
        <f t="shared" si="251"/>
        <v>0</v>
      </c>
      <c r="CT242">
        <f t="shared" si="252"/>
        <v>38901.870000000003</v>
      </c>
      <c r="CU242">
        <f t="shared" si="253"/>
        <v>0</v>
      </c>
      <c r="CV242">
        <f t="shared" si="254"/>
        <v>63</v>
      </c>
      <c r="CW242">
        <f t="shared" si="255"/>
        <v>0</v>
      </c>
      <c r="CX242">
        <f t="shared" si="256"/>
        <v>0</v>
      </c>
      <c r="CY242">
        <f t="shared" si="257"/>
        <v>108925.23600000002</v>
      </c>
      <c r="CZ242">
        <f t="shared" si="258"/>
        <v>15560.748</v>
      </c>
      <c r="DC242" t="s">
        <v>3</v>
      </c>
      <c r="DD242" t="s">
        <v>3</v>
      </c>
      <c r="DE242" t="s">
        <v>3</v>
      </c>
      <c r="DF242" t="s">
        <v>3</v>
      </c>
      <c r="DG242" t="s">
        <v>3</v>
      </c>
      <c r="DH242" t="s">
        <v>3</v>
      </c>
      <c r="DI242" t="s">
        <v>3</v>
      </c>
      <c r="DJ242" t="s">
        <v>3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242</v>
      </c>
      <c r="DW242" t="s">
        <v>242</v>
      </c>
      <c r="DX242">
        <v>1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19</v>
      </c>
      <c r="EH242">
        <v>0</v>
      </c>
      <c r="EI242" t="s">
        <v>3</v>
      </c>
      <c r="EJ242">
        <v>4</v>
      </c>
      <c r="EK242">
        <v>0</v>
      </c>
      <c r="EL242" t="s">
        <v>20</v>
      </c>
      <c r="EM242" t="s">
        <v>21</v>
      </c>
      <c r="EO242" t="s">
        <v>3</v>
      </c>
      <c r="EQ242">
        <v>1024</v>
      </c>
      <c r="ER242">
        <v>39722.36</v>
      </c>
      <c r="ES242">
        <v>820.49</v>
      </c>
      <c r="ET242">
        <v>0</v>
      </c>
      <c r="EU242">
        <v>0</v>
      </c>
      <c r="EV242">
        <v>38901.870000000003</v>
      </c>
      <c r="EW242">
        <v>63</v>
      </c>
      <c r="EX242">
        <v>0</v>
      </c>
      <c r="EY242">
        <v>0</v>
      </c>
      <c r="FQ242">
        <v>0</v>
      </c>
      <c r="FR242">
        <f t="shared" si="259"/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1784526344</v>
      </c>
      <c r="GG242">
        <v>2</v>
      </c>
      <c r="GH242">
        <v>1</v>
      </c>
      <c r="GI242">
        <v>-2</v>
      </c>
      <c r="GJ242">
        <v>0</v>
      </c>
      <c r="GK242">
        <f>ROUND(R242*(R12)/100,2)</f>
        <v>0</v>
      </c>
      <c r="GL242">
        <f t="shared" si="260"/>
        <v>0</v>
      </c>
      <c r="GM242">
        <f t="shared" si="261"/>
        <v>283375.43</v>
      </c>
      <c r="GN242">
        <f t="shared" si="262"/>
        <v>0</v>
      </c>
      <c r="GO242">
        <f t="shared" si="263"/>
        <v>0</v>
      </c>
      <c r="GP242">
        <f t="shared" si="264"/>
        <v>283375.43</v>
      </c>
      <c r="GR242">
        <v>0</v>
      </c>
      <c r="GS242">
        <v>3</v>
      </c>
      <c r="GT242">
        <v>0</v>
      </c>
      <c r="GU242" t="s">
        <v>3</v>
      </c>
      <c r="GV242">
        <f t="shared" si="265"/>
        <v>0</v>
      </c>
      <c r="GW242">
        <v>1</v>
      </c>
      <c r="GX242">
        <f t="shared" si="266"/>
        <v>0</v>
      </c>
      <c r="HA242">
        <v>0</v>
      </c>
      <c r="HB242">
        <v>0</v>
      </c>
      <c r="HC242">
        <f t="shared" si="267"/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17</v>
      </c>
      <c r="B243">
        <v>1</v>
      </c>
      <c r="D243">
        <f>ROW(EtalonRes!A184)</f>
        <v>184</v>
      </c>
      <c r="E243" t="s">
        <v>3</v>
      </c>
      <c r="F243" t="s">
        <v>273</v>
      </c>
      <c r="G243" t="s">
        <v>274</v>
      </c>
      <c r="H243" t="s">
        <v>242</v>
      </c>
      <c r="I243">
        <v>4</v>
      </c>
      <c r="J243">
        <v>0</v>
      </c>
      <c r="K243">
        <v>4</v>
      </c>
      <c r="O243">
        <f t="shared" si="235"/>
        <v>21206.880000000001</v>
      </c>
      <c r="P243">
        <f t="shared" si="236"/>
        <v>25.56</v>
      </c>
      <c r="Q243">
        <f t="shared" si="237"/>
        <v>0</v>
      </c>
      <c r="R243">
        <f t="shared" si="238"/>
        <v>0</v>
      </c>
      <c r="S243">
        <f t="shared" si="239"/>
        <v>21181.32</v>
      </c>
      <c r="T243">
        <f t="shared" si="240"/>
        <v>0</v>
      </c>
      <c r="U243">
        <f t="shared" si="241"/>
        <v>31.92</v>
      </c>
      <c r="V243">
        <f t="shared" si="242"/>
        <v>0</v>
      </c>
      <c r="W243">
        <f t="shared" si="243"/>
        <v>0</v>
      </c>
      <c r="X243">
        <f t="shared" si="244"/>
        <v>14826.92</v>
      </c>
      <c r="Y243">
        <f t="shared" si="245"/>
        <v>2118.13</v>
      </c>
      <c r="AA243">
        <v>-1</v>
      </c>
      <c r="AB243">
        <f t="shared" si="246"/>
        <v>5301.72</v>
      </c>
      <c r="AC243">
        <f>ROUND((ES243),6)</f>
        <v>6.39</v>
      </c>
      <c r="AD243">
        <f>ROUND((((ET243)-(EU243))+AE243),6)</f>
        <v>0</v>
      </c>
      <c r="AE243">
        <f t="shared" si="268"/>
        <v>0</v>
      </c>
      <c r="AF243">
        <f t="shared" si="268"/>
        <v>5295.33</v>
      </c>
      <c r="AG243">
        <f t="shared" si="247"/>
        <v>0</v>
      </c>
      <c r="AH243">
        <f t="shared" si="269"/>
        <v>7.98</v>
      </c>
      <c r="AI243">
        <f t="shared" si="269"/>
        <v>0</v>
      </c>
      <c r="AJ243">
        <f t="shared" si="248"/>
        <v>0</v>
      </c>
      <c r="AK243">
        <v>5301.72</v>
      </c>
      <c r="AL243">
        <v>6.39</v>
      </c>
      <c r="AM243">
        <v>0</v>
      </c>
      <c r="AN243">
        <v>0</v>
      </c>
      <c r="AO243">
        <v>5295.33</v>
      </c>
      <c r="AP243">
        <v>0</v>
      </c>
      <c r="AQ243">
        <v>7.98</v>
      </c>
      <c r="AR243">
        <v>0</v>
      </c>
      <c r="AS243">
        <v>0</v>
      </c>
      <c r="AT243">
        <v>70</v>
      </c>
      <c r="AU243">
        <v>10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3</v>
      </c>
      <c r="BE243" t="s">
        <v>3</v>
      </c>
      <c r="BF243" t="s">
        <v>3</v>
      </c>
      <c r="BG243" t="s">
        <v>3</v>
      </c>
      <c r="BH243">
        <v>0</v>
      </c>
      <c r="BI243">
        <v>4</v>
      </c>
      <c r="BJ243" t="s">
        <v>275</v>
      </c>
      <c r="BM243">
        <v>0</v>
      </c>
      <c r="BN243">
        <v>0</v>
      </c>
      <c r="BO243" t="s">
        <v>3</v>
      </c>
      <c r="BP243">
        <v>0</v>
      </c>
      <c r="BQ243">
        <v>1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3</v>
      </c>
      <c r="BZ243">
        <v>70</v>
      </c>
      <c r="CA243">
        <v>10</v>
      </c>
      <c r="CB243" t="s">
        <v>3</v>
      </c>
      <c r="CE243">
        <v>0</v>
      </c>
      <c r="CF243">
        <v>0</v>
      </c>
      <c r="CG243">
        <v>0</v>
      </c>
      <c r="CM243">
        <v>0</v>
      </c>
      <c r="CN243" t="s">
        <v>3</v>
      </c>
      <c r="CO243">
        <v>0</v>
      </c>
      <c r="CP243">
        <f t="shared" si="249"/>
        <v>21206.880000000001</v>
      </c>
      <c r="CQ243">
        <f t="shared" si="250"/>
        <v>6.39</v>
      </c>
      <c r="CR243">
        <f>((((ET243)*BB243-(EU243)*BS243)+AE243*BS243)*AV243)</f>
        <v>0</v>
      </c>
      <c r="CS243">
        <f t="shared" si="251"/>
        <v>0</v>
      </c>
      <c r="CT243">
        <f t="shared" si="252"/>
        <v>5295.33</v>
      </c>
      <c r="CU243">
        <f t="shared" si="253"/>
        <v>0</v>
      </c>
      <c r="CV243">
        <f t="shared" si="254"/>
        <v>7.98</v>
      </c>
      <c r="CW243">
        <f t="shared" si="255"/>
        <v>0</v>
      </c>
      <c r="CX243">
        <f t="shared" si="256"/>
        <v>0</v>
      </c>
      <c r="CY243">
        <f t="shared" si="257"/>
        <v>14826.923999999999</v>
      </c>
      <c r="CZ243">
        <f t="shared" si="258"/>
        <v>2118.1320000000001</v>
      </c>
      <c r="DC243" t="s">
        <v>3</v>
      </c>
      <c r="DD243" t="s">
        <v>3</v>
      </c>
      <c r="DE243" t="s">
        <v>3</v>
      </c>
      <c r="DF243" t="s">
        <v>3</v>
      </c>
      <c r="DG243" t="s">
        <v>3</v>
      </c>
      <c r="DH243" t="s">
        <v>3</v>
      </c>
      <c r="DI243" t="s">
        <v>3</v>
      </c>
      <c r="DJ243" t="s">
        <v>3</v>
      </c>
      <c r="DK243" t="s">
        <v>3</v>
      </c>
      <c r="DL243" t="s">
        <v>3</v>
      </c>
      <c r="DM243" t="s">
        <v>3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242</v>
      </c>
      <c r="DW243" t="s">
        <v>242</v>
      </c>
      <c r="DX243">
        <v>1</v>
      </c>
      <c r="DZ243" t="s">
        <v>3</v>
      </c>
      <c r="EA243" t="s">
        <v>3</v>
      </c>
      <c r="EB243" t="s">
        <v>3</v>
      </c>
      <c r="EC243" t="s">
        <v>3</v>
      </c>
      <c r="EE243">
        <v>1441815344</v>
      </c>
      <c r="EF243">
        <v>1</v>
      </c>
      <c r="EG243" t="s">
        <v>19</v>
      </c>
      <c r="EH243">
        <v>0</v>
      </c>
      <c r="EI243" t="s">
        <v>3</v>
      </c>
      <c r="EJ243">
        <v>4</v>
      </c>
      <c r="EK243">
        <v>0</v>
      </c>
      <c r="EL243" t="s">
        <v>20</v>
      </c>
      <c r="EM243" t="s">
        <v>21</v>
      </c>
      <c r="EO243" t="s">
        <v>3</v>
      </c>
      <c r="EQ243">
        <v>1311744</v>
      </c>
      <c r="ER243">
        <v>5301.72</v>
      </c>
      <c r="ES243">
        <v>6.39</v>
      </c>
      <c r="ET243">
        <v>0</v>
      </c>
      <c r="EU243">
        <v>0</v>
      </c>
      <c r="EV243">
        <v>5295.33</v>
      </c>
      <c r="EW243">
        <v>7.98</v>
      </c>
      <c r="EX243">
        <v>0</v>
      </c>
      <c r="EY243">
        <v>0</v>
      </c>
      <c r="FQ243">
        <v>0</v>
      </c>
      <c r="FR243">
        <f t="shared" si="259"/>
        <v>0</v>
      </c>
      <c r="FS243">
        <v>0</v>
      </c>
      <c r="FX243">
        <v>70</v>
      </c>
      <c r="FY243">
        <v>10</v>
      </c>
      <c r="GA243" t="s">
        <v>3</v>
      </c>
      <c r="GD243">
        <v>0</v>
      </c>
      <c r="GF243">
        <v>-325709671</v>
      </c>
      <c r="GG243">
        <v>2</v>
      </c>
      <c r="GH243">
        <v>1</v>
      </c>
      <c r="GI243">
        <v>-2</v>
      </c>
      <c r="GJ243">
        <v>0</v>
      </c>
      <c r="GK243">
        <f>ROUND(R243*(R12)/100,2)</f>
        <v>0</v>
      </c>
      <c r="GL243">
        <f t="shared" si="260"/>
        <v>0</v>
      </c>
      <c r="GM243">
        <f t="shared" si="261"/>
        <v>38151.93</v>
      </c>
      <c r="GN243">
        <f t="shared" si="262"/>
        <v>0</v>
      </c>
      <c r="GO243">
        <f t="shared" si="263"/>
        <v>0</v>
      </c>
      <c r="GP243">
        <f t="shared" si="264"/>
        <v>38151.93</v>
      </c>
      <c r="GR243">
        <v>0</v>
      </c>
      <c r="GS243">
        <v>3</v>
      </c>
      <c r="GT243">
        <v>0</v>
      </c>
      <c r="GU243" t="s">
        <v>3</v>
      </c>
      <c r="GV243">
        <f t="shared" si="265"/>
        <v>0</v>
      </c>
      <c r="GW243">
        <v>1</v>
      </c>
      <c r="GX243">
        <f t="shared" si="266"/>
        <v>0</v>
      </c>
      <c r="HA243">
        <v>0</v>
      </c>
      <c r="HB243">
        <v>0</v>
      </c>
      <c r="HC243">
        <f t="shared" si="267"/>
        <v>0</v>
      </c>
      <c r="HE243" t="s">
        <v>3</v>
      </c>
      <c r="HF243" t="s">
        <v>3</v>
      </c>
      <c r="HM243" t="s">
        <v>3</v>
      </c>
      <c r="HN243" t="s">
        <v>3</v>
      </c>
      <c r="HO243" t="s">
        <v>3</v>
      </c>
      <c r="HP243" t="s">
        <v>3</v>
      </c>
      <c r="HQ243" t="s">
        <v>3</v>
      </c>
      <c r="IK243">
        <v>0</v>
      </c>
    </row>
    <row r="244" spans="1:245" x14ac:dyDescent="0.2">
      <c r="A244">
        <v>17</v>
      </c>
      <c r="B244">
        <v>1</v>
      </c>
      <c r="D244">
        <f>ROW(EtalonRes!A186)</f>
        <v>186</v>
      </c>
      <c r="E244" t="s">
        <v>276</v>
      </c>
      <c r="F244" t="s">
        <v>277</v>
      </c>
      <c r="G244" t="s">
        <v>278</v>
      </c>
      <c r="H244" t="s">
        <v>242</v>
      </c>
      <c r="I244">
        <v>4</v>
      </c>
      <c r="J244">
        <v>0</v>
      </c>
      <c r="K244">
        <v>4</v>
      </c>
      <c r="O244">
        <f t="shared" si="235"/>
        <v>14758.96</v>
      </c>
      <c r="P244">
        <f t="shared" si="236"/>
        <v>1.04</v>
      </c>
      <c r="Q244">
        <f t="shared" si="237"/>
        <v>0</v>
      </c>
      <c r="R244">
        <f t="shared" si="238"/>
        <v>0</v>
      </c>
      <c r="S244">
        <f t="shared" si="239"/>
        <v>14757.92</v>
      </c>
      <c r="T244">
        <f t="shared" si="240"/>
        <v>0</v>
      </c>
      <c r="U244">
        <f t="shared" si="241"/>
        <v>22.24</v>
      </c>
      <c r="V244">
        <f t="shared" si="242"/>
        <v>0</v>
      </c>
      <c r="W244">
        <f t="shared" si="243"/>
        <v>0</v>
      </c>
      <c r="X244">
        <f t="shared" si="244"/>
        <v>10330.540000000001</v>
      </c>
      <c r="Y244">
        <f t="shared" si="245"/>
        <v>1475.79</v>
      </c>
      <c r="AA244">
        <v>1471988752</v>
      </c>
      <c r="AB244">
        <f t="shared" si="246"/>
        <v>3689.74</v>
      </c>
      <c r="AC244">
        <f>ROUND(((ES244*2)),6)</f>
        <v>0.26</v>
      </c>
      <c r="AD244">
        <f>ROUND(((((ET244*2))-((EU244*2)))+AE244),6)</f>
        <v>0</v>
      </c>
      <c r="AE244">
        <f>ROUND(((EU244*2)),6)</f>
        <v>0</v>
      </c>
      <c r="AF244">
        <f>ROUND(((EV244*2)),6)</f>
        <v>3689.48</v>
      </c>
      <c r="AG244">
        <f t="shared" si="247"/>
        <v>0</v>
      </c>
      <c r="AH244">
        <f>((EW244*2))</f>
        <v>5.56</v>
      </c>
      <c r="AI244">
        <f>((EX244*2))</f>
        <v>0</v>
      </c>
      <c r="AJ244">
        <f t="shared" si="248"/>
        <v>0</v>
      </c>
      <c r="AK244">
        <v>1844.87</v>
      </c>
      <c r="AL244">
        <v>0.13</v>
      </c>
      <c r="AM244">
        <v>0</v>
      </c>
      <c r="AN244">
        <v>0</v>
      </c>
      <c r="AO244">
        <v>1844.74</v>
      </c>
      <c r="AP244">
        <v>0</v>
      </c>
      <c r="AQ244">
        <v>2.78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279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 t="shared" si="249"/>
        <v>14758.960000000001</v>
      </c>
      <c r="CQ244">
        <f t="shared" si="250"/>
        <v>0.26</v>
      </c>
      <c r="CR244">
        <f>(((((ET244*2))*BB244-((EU244*2))*BS244)+AE244*BS244)*AV244)</f>
        <v>0</v>
      </c>
      <c r="CS244">
        <f t="shared" si="251"/>
        <v>0</v>
      </c>
      <c r="CT244">
        <f t="shared" si="252"/>
        <v>3689.48</v>
      </c>
      <c r="CU244">
        <f t="shared" si="253"/>
        <v>0</v>
      </c>
      <c r="CV244">
        <f t="shared" si="254"/>
        <v>5.56</v>
      </c>
      <c r="CW244">
        <f t="shared" si="255"/>
        <v>0</v>
      </c>
      <c r="CX244">
        <f t="shared" si="256"/>
        <v>0</v>
      </c>
      <c r="CY244">
        <f t="shared" si="257"/>
        <v>10330.544</v>
      </c>
      <c r="CZ244">
        <f t="shared" si="258"/>
        <v>1475.7920000000001</v>
      </c>
      <c r="DC244" t="s">
        <v>3</v>
      </c>
      <c r="DD244" t="s">
        <v>117</v>
      </c>
      <c r="DE244" t="s">
        <v>117</v>
      </c>
      <c r="DF244" t="s">
        <v>117</v>
      </c>
      <c r="DG244" t="s">
        <v>117</v>
      </c>
      <c r="DH244" t="s">
        <v>3</v>
      </c>
      <c r="DI244" t="s">
        <v>117</v>
      </c>
      <c r="DJ244" t="s">
        <v>117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242</v>
      </c>
      <c r="DW244" t="s">
        <v>242</v>
      </c>
      <c r="DX244">
        <v>1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19</v>
      </c>
      <c r="EH244">
        <v>0</v>
      </c>
      <c r="EI244" t="s">
        <v>3</v>
      </c>
      <c r="EJ244">
        <v>4</v>
      </c>
      <c r="EK244">
        <v>0</v>
      </c>
      <c r="EL244" t="s">
        <v>20</v>
      </c>
      <c r="EM244" t="s">
        <v>21</v>
      </c>
      <c r="EO244" t="s">
        <v>3</v>
      </c>
      <c r="EQ244">
        <v>0</v>
      </c>
      <c r="ER244">
        <v>1844.87</v>
      </c>
      <c r="ES244">
        <v>0.13</v>
      </c>
      <c r="ET244">
        <v>0</v>
      </c>
      <c r="EU244">
        <v>0</v>
      </c>
      <c r="EV244">
        <v>1844.74</v>
      </c>
      <c r="EW244">
        <v>2.78</v>
      </c>
      <c r="EX244">
        <v>0</v>
      </c>
      <c r="EY244">
        <v>0</v>
      </c>
      <c r="FQ244">
        <v>0</v>
      </c>
      <c r="FR244">
        <f t="shared" si="259"/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-1375426856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 t="shared" si="260"/>
        <v>0</v>
      </c>
      <c r="GM244">
        <f t="shared" si="261"/>
        <v>26565.29</v>
      </c>
      <c r="GN244">
        <f t="shared" si="262"/>
        <v>0</v>
      </c>
      <c r="GO244">
        <f t="shared" si="263"/>
        <v>0</v>
      </c>
      <c r="GP244">
        <f t="shared" si="264"/>
        <v>26565.29</v>
      </c>
      <c r="GR244">
        <v>0</v>
      </c>
      <c r="GS244">
        <v>3</v>
      </c>
      <c r="GT244">
        <v>0</v>
      </c>
      <c r="GU244" t="s">
        <v>3</v>
      </c>
      <c r="GV244">
        <f t="shared" si="265"/>
        <v>0</v>
      </c>
      <c r="GW244">
        <v>1</v>
      </c>
      <c r="GX244">
        <f t="shared" si="266"/>
        <v>0</v>
      </c>
      <c r="HA244">
        <v>0</v>
      </c>
      <c r="HB244">
        <v>0</v>
      </c>
      <c r="HC244">
        <f t="shared" si="267"/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D245">
        <f>ROW(EtalonRes!A188)</f>
        <v>188</v>
      </c>
      <c r="E245" t="s">
        <v>3</v>
      </c>
      <c r="F245" t="s">
        <v>280</v>
      </c>
      <c r="G245" t="s">
        <v>281</v>
      </c>
      <c r="H245" t="s">
        <v>242</v>
      </c>
      <c r="I245">
        <v>4</v>
      </c>
      <c r="J245">
        <v>0</v>
      </c>
      <c r="K245">
        <v>4</v>
      </c>
      <c r="O245">
        <f t="shared" si="235"/>
        <v>7963.92</v>
      </c>
      <c r="P245">
        <f t="shared" si="236"/>
        <v>1.04</v>
      </c>
      <c r="Q245">
        <f t="shared" si="237"/>
        <v>0</v>
      </c>
      <c r="R245">
        <f t="shared" si="238"/>
        <v>0</v>
      </c>
      <c r="S245">
        <f t="shared" si="239"/>
        <v>7962.88</v>
      </c>
      <c r="T245">
        <f t="shared" si="240"/>
        <v>0</v>
      </c>
      <c r="U245">
        <f t="shared" si="241"/>
        <v>12</v>
      </c>
      <c r="V245">
        <f t="shared" si="242"/>
        <v>0</v>
      </c>
      <c r="W245">
        <f t="shared" si="243"/>
        <v>0</v>
      </c>
      <c r="X245">
        <f t="shared" si="244"/>
        <v>5574.02</v>
      </c>
      <c r="Y245">
        <f t="shared" si="245"/>
        <v>796.29</v>
      </c>
      <c r="AA245">
        <v>-1</v>
      </c>
      <c r="AB245">
        <f t="shared" si="246"/>
        <v>1990.98</v>
      </c>
      <c r="AC245">
        <f>ROUND(((ES245*2)),6)</f>
        <v>0.26</v>
      </c>
      <c r="AD245">
        <f>ROUND(((((ET245*2))-((EU245*2)))+AE245),6)</f>
        <v>0</v>
      </c>
      <c r="AE245">
        <f>ROUND(((EU245*2)),6)</f>
        <v>0</v>
      </c>
      <c r="AF245">
        <f>ROUND(((EV245*2)),6)</f>
        <v>1990.72</v>
      </c>
      <c r="AG245">
        <f t="shared" si="247"/>
        <v>0</v>
      </c>
      <c r="AH245">
        <f>((EW245*2))</f>
        <v>3</v>
      </c>
      <c r="AI245">
        <f>((EX245*2))</f>
        <v>0</v>
      </c>
      <c r="AJ245">
        <f t="shared" si="248"/>
        <v>0</v>
      </c>
      <c r="AK245">
        <v>995.49</v>
      </c>
      <c r="AL245">
        <v>0.13</v>
      </c>
      <c r="AM245">
        <v>0</v>
      </c>
      <c r="AN245">
        <v>0</v>
      </c>
      <c r="AO245">
        <v>995.36</v>
      </c>
      <c r="AP245">
        <v>0</v>
      </c>
      <c r="AQ245">
        <v>1.5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282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 t="shared" si="249"/>
        <v>7963.92</v>
      </c>
      <c r="CQ245">
        <f t="shared" si="250"/>
        <v>0.26</v>
      </c>
      <c r="CR245">
        <f>(((((ET245*2))*BB245-((EU245*2))*BS245)+AE245*BS245)*AV245)</f>
        <v>0</v>
      </c>
      <c r="CS245">
        <f t="shared" si="251"/>
        <v>0</v>
      </c>
      <c r="CT245">
        <f t="shared" si="252"/>
        <v>1990.72</v>
      </c>
      <c r="CU245">
        <f t="shared" si="253"/>
        <v>0</v>
      </c>
      <c r="CV245">
        <f t="shared" si="254"/>
        <v>3</v>
      </c>
      <c r="CW245">
        <f t="shared" si="255"/>
        <v>0</v>
      </c>
      <c r="CX245">
        <f t="shared" si="256"/>
        <v>0</v>
      </c>
      <c r="CY245">
        <f t="shared" si="257"/>
        <v>5574.0159999999996</v>
      </c>
      <c r="CZ245">
        <f t="shared" si="258"/>
        <v>796.28800000000001</v>
      </c>
      <c r="DC245" t="s">
        <v>3</v>
      </c>
      <c r="DD245" t="s">
        <v>117</v>
      </c>
      <c r="DE245" t="s">
        <v>117</v>
      </c>
      <c r="DF245" t="s">
        <v>117</v>
      </c>
      <c r="DG245" t="s">
        <v>117</v>
      </c>
      <c r="DH245" t="s">
        <v>3</v>
      </c>
      <c r="DI245" t="s">
        <v>117</v>
      </c>
      <c r="DJ245" t="s">
        <v>117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242</v>
      </c>
      <c r="DW245" t="s">
        <v>242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19</v>
      </c>
      <c r="EH245">
        <v>0</v>
      </c>
      <c r="EI245" t="s">
        <v>3</v>
      </c>
      <c r="EJ245">
        <v>4</v>
      </c>
      <c r="EK245">
        <v>0</v>
      </c>
      <c r="EL245" t="s">
        <v>20</v>
      </c>
      <c r="EM245" t="s">
        <v>21</v>
      </c>
      <c r="EO245" t="s">
        <v>3</v>
      </c>
      <c r="EQ245">
        <v>1024</v>
      </c>
      <c r="ER245">
        <v>995.49</v>
      </c>
      <c r="ES245">
        <v>0.13</v>
      </c>
      <c r="ET245">
        <v>0</v>
      </c>
      <c r="EU245">
        <v>0</v>
      </c>
      <c r="EV245">
        <v>995.36</v>
      </c>
      <c r="EW245">
        <v>1.5</v>
      </c>
      <c r="EX245">
        <v>0</v>
      </c>
      <c r="EY245">
        <v>0</v>
      </c>
      <c r="FQ245">
        <v>0</v>
      </c>
      <c r="FR245">
        <f t="shared" si="259"/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1316401234</v>
      </c>
      <c r="GG245">
        <v>2</v>
      </c>
      <c r="GH245">
        <v>1</v>
      </c>
      <c r="GI245">
        <v>-2</v>
      </c>
      <c r="GJ245">
        <v>0</v>
      </c>
      <c r="GK245">
        <f>ROUND(R245*(R12)/100,2)</f>
        <v>0</v>
      </c>
      <c r="GL245">
        <f t="shared" si="260"/>
        <v>0</v>
      </c>
      <c r="GM245">
        <f t="shared" si="261"/>
        <v>14334.23</v>
      </c>
      <c r="GN245">
        <f t="shared" si="262"/>
        <v>0</v>
      </c>
      <c r="GO245">
        <f t="shared" si="263"/>
        <v>0</v>
      </c>
      <c r="GP245">
        <f t="shared" si="264"/>
        <v>14334.23</v>
      </c>
      <c r="GR245">
        <v>0</v>
      </c>
      <c r="GS245">
        <v>3</v>
      </c>
      <c r="GT245">
        <v>0</v>
      </c>
      <c r="GU245" t="s">
        <v>3</v>
      </c>
      <c r="GV245">
        <f t="shared" si="265"/>
        <v>0</v>
      </c>
      <c r="GW245">
        <v>1</v>
      </c>
      <c r="GX245">
        <f t="shared" si="266"/>
        <v>0</v>
      </c>
      <c r="HA245">
        <v>0</v>
      </c>
      <c r="HB245">
        <v>0</v>
      </c>
      <c r="HC245">
        <f t="shared" si="267"/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D246">
        <f>ROW(EtalonRes!A198)</f>
        <v>198</v>
      </c>
      <c r="E246" t="s">
        <v>3</v>
      </c>
      <c r="F246" t="s">
        <v>283</v>
      </c>
      <c r="G246" t="s">
        <v>284</v>
      </c>
      <c r="H246" t="s">
        <v>242</v>
      </c>
      <c r="I246">
        <v>1</v>
      </c>
      <c r="J246">
        <v>0</v>
      </c>
      <c r="K246">
        <v>1</v>
      </c>
      <c r="O246">
        <f t="shared" si="235"/>
        <v>22946.34</v>
      </c>
      <c r="P246">
        <f t="shared" si="236"/>
        <v>654.95000000000005</v>
      </c>
      <c r="Q246">
        <f t="shared" si="237"/>
        <v>0</v>
      </c>
      <c r="R246">
        <f t="shared" si="238"/>
        <v>0</v>
      </c>
      <c r="S246">
        <f t="shared" si="239"/>
        <v>22291.39</v>
      </c>
      <c r="T246">
        <f t="shared" si="240"/>
        <v>0</v>
      </c>
      <c r="U246">
        <f t="shared" si="241"/>
        <v>36.1</v>
      </c>
      <c r="V246">
        <f t="shared" si="242"/>
        <v>0</v>
      </c>
      <c r="W246">
        <f t="shared" si="243"/>
        <v>0</v>
      </c>
      <c r="X246">
        <f t="shared" si="244"/>
        <v>15603.97</v>
      </c>
      <c r="Y246">
        <f t="shared" si="245"/>
        <v>2229.14</v>
      </c>
      <c r="AA246">
        <v>-1</v>
      </c>
      <c r="AB246">
        <f t="shared" si="246"/>
        <v>22946.34</v>
      </c>
      <c r="AC246">
        <f>ROUND((ES246),6)</f>
        <v>654.95000000000005</v>
      </c>
      <c r="AD246">
        <f>ROUND((((ET246)-(EU246))+AE246),6)</f>
        <v>0</v>
      </c>
      <c r="AE246">
        <f>ROUND((EU246),6)</f>
        <v>0</v>
      </c>
      <c r="AF246">
        <f>ROUND((EV246),6)</f>
        <v>22291.39</v>
      </c>
      <c r="AG246">
        <f t="shared" si="247"/>
        <v>0</v>
      </c>
      <c r="AH246">
        <f>(EW246)</f>
        <v>36.1</v>
      </c>
      <c r="AI246">
        <f>(EX246)</f>
        <v>0</v>
      </c>
      <c r="AJ246">
        <f t="shared" si="248"/>
        <v>0</v>
      </c>
      <c r="AK246">
        <v>22946.34</v>
      </c>
      <c r="AL246">
        <v>654.95000000000005</v>
      </c>
      <c r="AM246">
        <v>0</v>
      </c>
      <c r="AN246">
        <v>0</v>
      </c>
      <c r="AO246">
        <v>22291.39</v>
      </c>
      <c r="AP246">
        <v>0</v>
      </c>
      <c r="AQ246">
        <v>36.1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285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 t="shared" si="249"/>
        <v>22946.34</v>
      </c>
      <c r="CQ246">
        <f t="shared" si="250"/>
        <v>654.95000000000005</v>
      </c>
      <c r="CR246">
        <f>((((ET246)*BB246-(EU246)*BS246)+AE246*BS246)*AV246)</f>
        <v>0</v>
      </c>
      <c r="CS246">
        <f t="shared" si="251"/>
        <v>0</v>
      </c>
      <c r="CT246">
        <f t="shared" si="252"/>
        <v>22291.39</v>
      </c>
      <c r="CU246">
        <f t="shared" si="253"/>
        <v>0</v>
      </c>
      <c r="CV246">
        <f t="shared" si="254"/>
        <v>36.1</v>
      </c>
      <c r="CW246">
        <f t="shared" si="255"/>
        <v>0</v>
      </c>
      <c r="CX246">
        <f t="shared" si="256"/>
        <v>0</v>
      </c>
      <c r="CY246">
        <f t="shared" si="257"/>
        <v>15603.973</v>
      </c>
      <c r="CZ246">
        <f t="shared" si="258"/>
        <v>2229.1390000000001</v>
      </c>
      <c r="DC246" t="s">
        <v>3</v>
      </c>
      <c r="DD246" t="s">
        <v>3</v>
      </c>
      <c r="DE246" t="s">
        <v>3</v>
      </c>
      <c r="DF246" t="s">
        <v>3</v>
      </c>
      <c r="DG246" t="s">
        <v>3</v>
      </c>
      <c r="DH246" t="s">
        <v>3</v>
      </c>
      <c r="DI246" t="s">
        <v>3</v>
      </c>
      <c r="DJ246" t="s">
        <v>3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242</v>
      </c>
      <c r="DW246" t="s">
        <v>242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19</v>
      </c>
      <c r="EH246">
        <v>0</v>
      </c>
      <c r="EI246" t="s">
        <v>3</v>
      </c>
      <c r="EJ246">
        <v>4</v>
      </c>
      <c r="EK246">
        <v>0</v>
      </c>
      <c r="EL246" t="s">
        <v>20</v>
      </c>
      <c r="EM246" t="s">
        <v>21</v>
      </c>
      <c r="EO246" t="s">
        <v>3</v>
      </c>
      <c r="EQ246">
        <v>1024</v>
      </c>
      <c r="ER246">
        <v>22946.34</v>
      </c>
      <c r="ES246">
        <v>654.95000000000005</v>
      </c>
      <c r="ET246">
        <v>0</v>
      </c>
      <c r="EU246">
        <v>0</v>
      </c>
      <c r="EV246">
        <v>22291.39</v>
      </c>
      <c r="EW246">
        <v>36.1</v>
      </c>
      <c r="EX246">
        <v>0</v>
      </c>
      <c r="EY246">
        <v>0</v>
      </c>
      <c r="FQ246">
        <v>0</v>
      </c>
      <c r="FR246">
        <f t="shared" si="259"/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86364489</v>
      </c>
      <c r="GG246">
        <v>2</v>
      </c>
      <c r="GH246">
        <v>1</v>
      </c>
      <c r="GI246">
        <v>-2</v>
      </c>
      <c r="GJ246">
        <v>0</v>
      </c>
      <c r="GK246">
        <f>ROUND(R246*(R12)/100,2)</f>
        <v>0</v>
      </c>
      <c r="GL246">
        <f t="shared" si="260"/>
        <v>0</v>
      </c>
      <c r="GM246">
        <f t="shared" si="261"/>
        <v>40779.449999999997</v>
      </c>
      <c r="GN246">
        <f t="shared" si="262"/>
        <v>0</v>
      </c>
      <c r="GO246">
        <f t="shared" si="263"/>
        <v>0</v>
      </c>
      <c r="GP246">
        <f t="shared" si="264"/>
        <v>40779.449999999997</v>
      </c>
      <c r="GR246">
        <v>0</v>
      </c>
      <c r="GS246">
        <v>3</v>
      </c>
      <c r="GT246">
        <v>0</v>
      </c>
      <c r="GU246" t="s">
        <v>3</v>
      </c>
      <c r="GV246">
        <f t="shared" si="265"/>
        <v>0</v>
      </c>
      <c r="GW246">
        <v>1</v>
      </c>
      <c r="GX246">
        <f t="shared" si="266"/>
        <v>0</v>
      </c>
      <c r="HA246">
        <v>0</v>
      </c>
      <c r="HB246">
        <v>0</v>
      </c>
      <c r="HC246">
        <f t="shared" si="267"/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17</v>
      </c>
      <c r="B247">
        <v>1</v>
      </c>
      <c r="D247">
        <f>ROW(EtalonRes!A201)</f>
        <v>201</v>
      </c>
      <c r="E247" t="s">
        <v>3</v>
      </c>
      <c r="F247" t="s">
        <v>286</v>
      </c>
      <c r="G247" t="s">
        <v>287</v>
      </c>
      <c r="H247" t="s">
        <v>242</v>
      </c>
      <c r="I247">
        <v>1</v>
      </c>
      <c r="J247">
        <v>0</v>
      </c>
      <c r="K247">
        <v>1</v>
      </c>
      <c r="O247">
        <f t="shared" si="235"/>
        <v>3652.45</v>
      </c>
      <c r="P247">
        <f t="shared" si="236"/>
        <v>2.79</v>
      </c>
      <c r="Q247">
        <f t="shared" si="237"/>
        <v>0</v>
      </c>
      <c r="R247">
        <f t="shared" si="238"/>
        <v>0</v>
      </c>
      <c r="S247">
        <f t="shared" si="239"/>
        <v>3649.66</v>
      </c>
      <c r="T247">
        <f t="shared" si="240"/>
        <v>0</v>
      </c>
      <c r="U247">
        <f t="shared" si="241"/>
        <v>5.5</v>
      </c>
      <c r="V247">
        <f t="shared" si="242"/>
        <v>0</v>
      </c>
      <c r="W247">
        <f t="shared" si="243"/>
        <v>0</v>
      </c>
      <c r="X247">
        <f t="shared" si="244"/>
        <v>2554.7600000000002</v>
      </c>
      <c r="Y247">
        <f t="shared" si="245"/>
        <v>364.97</v>
      </c>
      <c r="AA247">
        <v>-1</v>
      </c>
      <c r="AB247">
        <f t="shared" si="246"/>
        <v>3652.45</v>
      </c>
      <c r="AC247">
        <f>ROUND((ES247),6)</f>
        <v>2.79</v>
      </c>
      <c r="AD247">
        <f>ROUND((((ET247)-(EU247))+AE247),6)</f>
        <v>0</v>
      </c>
      <c r="AE247">
        <f>ROUND((EU247),6)</f>
        <v>0</v>
      </c>
      <c r="AF247">
        <f>ROUND((EV247),6)</f>
        <v>3649.66</v>
      </c>
      <c r="AG247">
        <f t="shared" si="247"/>
        <v>0</v>
      </c>
      <c r="AH247">
        <f>(EW247)</f>
        <v>5.5</v>
      </c>
      <c r="AI247">
        <f>(EX247)</f>
        <v>0</v>
      </c>
      <c r="AJ247">
        <f t="shared" si="248"/>
        <v>0</v>
      </c>
      <c r="AK247">
        <v>3652.45</v>
      </c>
      <c r="AL247">
        <v>2.79</v>
      </c>
      <c r="AM247">
        <v>0</v>
      </c>
      <c r="AN247">
        <v>0</v>
      </c>
      <c r="AO247">
        <v>3649.66</v>
      </c>
      <c r="AP247">
        <v>0</v>
      </c>
      <c r="AQ247">
        <v>5.5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288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 t="shared" si="249"/>
        <v>3652.45</v>
      </c>
      <c r="CQ247">
        <f t="shared" si="250"/>
        <v>2.79</v>
      </c>
      <c r="CR247">
        <f>((((ET247)*BB247-(EU247)*BS247)+AE247*BS247)*AV247)</f>
        <v>0</v>
      </c>
      <c r="CS247">
        <f t="shared" si="251"/>
        <v>0</v>
      </c>
      <c r="CT247">
        <f t="shared" si="252"/>
        <v>3649.66</v>
      </c>
      <c r="CU247">
        <f t="shared" si="253"/>
        <v>0</v>
      </c>
      <c r="CV247">
        <f t="shared" si="254"/>
        <v>5.5</v>
      </c>
      <c r="CW247">
        <f t="shared" si="255"/>
        <v>0</v>
      </c>
      <c r="CX247">
        <f t="shared" si="256"/>
        <v>0</v>
      </c>
      <c r="CY247">
        <f t="shared" si="257"/>
        <v>2554.7619999999997</v>
      </c>
      <c r="CZ247">
        <f t="shared" si="258"/>
        <v>364.96600000000001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242</v>
      </c>
      <c r="DW247" t="s">
        <v>242</v>
      </c>
      <c r="DX247">
        <v>1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19</v>
      </c>
      <c r="EH247">
        <v>0</v>
      </c>
      <c r="EI247" t="s">
        <v>3</v>
      </c>
      <c r="EJ247">
        <v>4</v>
      </c>
      <c r="EK247">
        <v>0</v>
      </c>
      <c r="EL247" t="s">
        <v>20</v>
      </c>
      <c r="EM247" t="s">
        <v>21</v>
      </c>
      <c r="EO247" t="s">
        <v>3</v>
      </c>
      <c r="EQ247">
        <v>1311744</v>
      </c>
      <c r="ER247">
        <v>3652.45</v>
      </c>
      <c r="ES247">
        <v>2.79</v>
      </c>
      <c r="ET247">
        <v>0</v>
      </c>
      <c r="EU247">
        <v>0</v>
      </c>
      <c r="EV247">
        <v>3649.66</v>
      </c>
      <c r="EW247">
        <v>5.5</v>
      </c>
      <c r="EX247">
        <v>0</v>
      </c>
      <c r="EY247">
        <v>0</v>
      </c>
      <c r="FQ247">
        <v>0</v>
      </c>
      <c r="FR247">
        <f t="shared" si="259"/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1979362590</v>
      </c>
      <c r="GG247">
        <v>2</v>
      </c>
      <c r="GH247">
        <v>1</v>
      </c>
      <c r="GI247">
        <v>-2</v>
      </c>
      <c r="GJ247">
        <v>0</v>
      </c>
      <c r="GK247">
        <f>ROUND(R247*(R12)/100,2)</f>
        <v>0</v>
      </c>
      <c r="GL247">
        <f t="shared" si="260"/>
        <v>0</v>
      </c>
      <c r="GM247">
        <f t="shared" si="261"/>
        <v>6572.18</v>
      </c>
      <c r="GN247">
        <f t="shared" si="262"/>
        <v>0</v>
      </c>
      <c r="GO247">
        <f t="shared" si="263"/>
        <v>0</v>
      </c>
      <c r="GP247">
        <f t="shared" si="264"/>
        <v>6572.18</v>
      </c>
      <c r="GR247">
        <v>0</v>
      </c>
      <c r="GS247">
        <v>3</v>
      </c>
      <c r="GT247">
        <v>0</v>
      </c>
      <c r="GU247" t="s">
        <v>3</v>
      </c>
      <c r="GV247">
        <f t="shared" si="265"/>
        <v>0</v>
      </c>
      <c r="GW247">
        <v>1</v>
      </c>
      <c r="GX247">
        <f t="shared" si="266"/>
        <v>0</v>
      </c>
      <c r="HA247">
        <v>0</v>
      </c>
      <c r="HB247">
        <v>0</v>
      </c>
      <c r="HC247">
        <f t="shared" si="267"/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D248">
        <f>ROW(EtalonRes!A203)</f>
        <v>203</v>
      </c>
      <c r="E248" t="s">
        <v>289</v>
      </c>
      <c r="F248" t="s">
        <v>290</v>
      </c>
      <c r="G248" t="s">
        <v>291</v>
      </c>
      <c r="H248" t="s">
        <v>242</v>
      </c>
      <c r="I248">
        <v>1</v>
      </c>
      <c r="J248">
        <v>0</v>
      </c>
      <c r="K248">
        <v>1</v>
      </c>
      <c r="O248">
        <f t="shared" si="235"/>
        <v>3158.68</v>
      </c>
      <c r="P248">
        <f t="shared" si="236"/>
        <v>0.06</v>
      </c>
      <c r="Q248">
        <f t="shared" si="237"/>
        <v>0</v>
      </c>
      <c r="R248">
        <f t="shared" si="238"/>
        <v>0</v>
      </c>
      <c r="S248">
        <f t="shared" si="239"/>
        <v>3158.62</v>
      </c>
      <c r="T248">
        <f t="shared" si="240"/>
        <v>0</v>
      </c>
      <c r="U248">
        <f t="shared" si="241"/>
        <v>4.76</v>
      </c>
      <c r="V248">
        <f t="shared" si="242"/>
        <v>0</v>
      </c>
      <c r="W248">
        <f t="shared" si="243"/>
        <v>0</v>
      </c>
      <c r="X248">
        <f t="shared" si="244"/>
        <v>2211.0300000000002</v>
      </c>
      <c r="Y248">
        <f t="shared" si="245"/>
        <v>315.86</v>
      </c>
      <c r="AA248">
        <v>1471988752</v>
      </c>
      <c r="AB248">
        <f t="shared" si="246"/>
        <v>3158.68</v>
      </c>
      <c r="AC248">
        <f>ROUND(((ES248*2)),6)</f>
        <v>0.06</v>
      </c>
      <c r="AD248">
        <f>ROUND(((((ET248*2))-((EU248*2)))+AE248),6)</f>
        <v>0</v>
      </c>
      <c r="AE248">
        <f>ROUND(((EU248*2)),6)</f>
        <v>0</v>
      </c>
      <c r="AF248">
        <f>ROUND(((EV248*2)),6)</f>
        <v>3158.62</v>
      </c>
      <c r="AG248">
        <f t="shared" si="247"/>
        <v>0</v>
      </c>
      <c r="AH248">
        <f>((EW248*2))</f>
        <v>4.76</v>
      </c>
      <c r="AI248">
        <f>((EX248*2))</f>
        <v>0</v>
      </c>
      <c r="AJ248">
        <f t="shared" si="248"/>
        <v>0</v>
      </c>
      <c r="AK248">
        <v>1579.34</v>
      </c>
      <c r="AL248">
        <v>0.03</v>
      </c>
      <c r="AM248">
        <v>0</v>
      </c>
      <c r="AN248">
        <v>0</v>
      </c>
      <c r="AO248">
        <v>1579.31</v>
      </c>
      <c r="AP248">
        <v>0</v>
      </c>
      <c r="AQ248">
        <v>2.38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292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 t="shared" si="249"/>
        <v>3158.68</v>
      </c>
      <c r="CQ248">
        <f t="shared" si="250"/>
        <v>0.06</v>
      </c>
      <c r="CR248">
        <f>(((((ET248*2))*BB248-((EU248*2))*BS248)+AE248*BS248)*AV248)</f>
        <v>0</v>
      </c>
      <c r="CS248">
        <f t="shared" si="251"/>
        <v>0</v>
      </c>
      <c r="CT248">
        <f t="shared" si="252"/>
        <v>3158.62</v>
      </c>
      <c r="CU248">
        <f t="shared" si="253"/>
        <v>0</v>
      </c>
      <c r="CV248">
        <f t="shared" si="254"/>
        <v>4.76</v>
      </c>
      <c r="CW248">
        <f t="shared" si="255"/>
        <v>0</v>
      </c>
      <c r="CX248">
        <f t="shared" si="256"/>
        <v>0</v>
      </c>
      <c r="CY248">
        <f t="shared" si="257"/>
        <v>2211.0340000000001</v>
      </c>
      <c r="CZ248">
        <f t="shared" si="258"/>
        <v>315.86199999999997</v>
      </c>
      <c r="DC248" t="s">
        <v>3</v>
      </c>
      <c r="DD248" t="s">
        <v>117</v>
      </c>
      <c r="DE248" t="s">
        <v>117</v>
      </c>
      <c r="DF248" t="s">
        <v>117</v>
      </c>
      <c r="DG248" t="s">
        <v>117</v>
      </c>
      <c r="DH248" t="s">
        <v>3</v>
      </c>
      <c r="DI248" t="s">
        <v>117</v>
      </c>
      <c r="DJ248" t="s">
        <v>117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242</v>
      </c>
      <c r="DW248" t="s">
        <v>242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19</v>
      </c>
      <c r="EH248">
        <v>0</v>
      </c>
      <c r="EI248" t="s">
        <v>3</v>
      </c>
      <c r="EJ248">
        <v>4</v>
      </c>
      <c r="EK248">
        <v>0</v>
      </c>
      <c r="EL248" t="s">
        <v>20</v>
      </c>
      <c r="EM248" t="s">
        <v>21</v>
      </c>
      <c r="EO248" t="s">
        <v>3</v>
      </c>
      <c r="EQ248">
        <v>0</v>
      </c>
      <c r="ER248">
        <v>1579.34</v>
      </c>
      <c r="ES248">
        <v>0.03</v>
      </c>
      <c r="ET248">
        <v>0</v>
      </c>
      <c r="EU248">
        <v>0</v>
      </c>
      <c r="EV248">
        <v>1579.31</v>
      </c>
      <c r="EW248">
        <v>2.38</v>
      </c>
      <c r="EX248">
        <v>0</v>
      </c>
      <c r="EY248">
        <v>0</v>
      </c>
      <c r="FQ248">
        <v>0</v>
      </c>
      <c r="FR248">
        <f t="shared" si="259"/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-1593979091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 t="shared" si="260"/>
        <v>0</v>
      </c>
      <c r="GM248">
        <f t="shared" si="261"/>
        <v>5685.57</v>
      </c>
      <c r="GN248">
        <f t="shared" si="262"/>
        <v>0</v>
      </c>
      <c r="GO248">
        <f t="shared" si="263"/>
        <v>0</v>
      </c>
      <c r="GP248">
        <f t="shared" si="264"/>
        <v>5685.57</v>
      </c>
      <c r="GR248">
        <v>0</v>
      </c>
      <c r="GS248">
        <v>3</v>
      </c>
      <c r="GT248">
        <v>0</v>
      </c>
      <c r="GU248" t="s">
        <v>3</v>
      </c>
      <c r="GV248">
        <f t="shared" si="265"/>
        <v>0</v>
      </c>
      <c r="GW248">
        <v>1</v>
      </c>
      <c r="GX248">
        <f t="shared" si="266"/>
        <v>0</v>
      </c>
      <c r="HA248">
        <v>0</v>
      </c>
      <c r="HB248">
        <v>0</v>
      </c>
      <c r="HC248">
        <f t="shared" si="267"/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17</v>
      </c>
      <c r="B249">
        <v>1</v>
      </c>
      <c r="D249">
        <f>ROW(EtalonRes!A205)</f>
        <v>205</v>
      </c>
      <c r="E249" t="s">
        <v>3</v>
      </c>
      <c r="F249" t="s">
        <v>293</v>
      </c>
      <c r="G249" t="s">
        <v>294</v>
      </c>
      <c r="H249" t="s">
        <v>242</v>
      </c>
      <c r="I249">
        <v>1</v>
      </c>
      <c r="J249">
        <v>0</v>
      </c>
      <c r="K249">
        <v>1</v>
      </c>
      <c r="O249">
        <f t="shared" si="235"/>
        <v>1459.94</v>
      </c>
      <c r="P249">
        <f t="shared" si="236"/>
        <v>0.08</v>
      </c>
      <c r="Q249">
        <f t="shared" si="237"/>
        <v>0</v>
      </c>
      <c r="R249">
        <f t="shared" si="238"/>
        <v>0</v>
      </c>
      <c r="S249">
        <f t="shared" si="239"/>
        <v>1459.86</v>
      </c>
      <c r="T249">
        <f t="shared" si="240"/>
        <v>0</v>
      </c>
      <c r="U249">
        <f t="shared" si="241"/>
        <v>2.2000000000000002</v>
      </c>
      <c r="V249">
        <f t="shared" si="242"/>
        <v>0</v>
      </c>
      <c r="W249">
        <f t="shared" si="243"/>
        <v>0</v>
      </c>
      <c r="X249">
        <f t="shared" si="244"/>
        <v>1021.9</v>
      </c>
      <c r="Y249">
        <f t="shared" si="245"/>
        <v>145.99</v>
      </c>
      <c r="AA249">
        <v>-1</v>
      </c>
      <c r="AB249">
        <f t="shared" si="246"/>
        <v>1459.94</v>
      </c>
      <c r="AC249">
        <f>ROUND(((ES249*2)),6)</f>
        <v>0.08</v>
      </c>
      <c r="AD249">
        <f>ROUND(((((ET249*2))-((EU249*2)))+AE249),6)</f>
        <v>0</v>
      </c>
      <c r="AE249">
        <f>ROUND(((EU249*2)),6)</f>
        <v>0</v>
      </c>
      <c r="AF249">
        <f>ROUND(((EV249*2)),6)</f>
        <v>1459.86</v>
      </c>
      <c r="AG249">
        <f t="shared" si="247"/>
        <v>0</v>
      </c>
      <c r="AH249">
        <f>((EW249*2))</f>
        <v>2.2000000000000002</v>
      </c>
      <c r="AI249">
        <f>((EX249*2))</f>
        <v>0</v>
      </c>
      <c r="AJ249">
        <f t="shared" si="248"/>
        <v>0</v>
      </c>
      <c r="AK249">
        <v>729.97</v>
      </c>
      <c r="AL249">
        <v>0.04</v>
      </c>
      <c r="AM249">
        <v>0</v>
      </c>
      <c r="AN249">
        <v>0</v>
      </c>
      <c r="AO249">
        <v>729.93</v>
      </c>
      <c r="AP249">
        <v>0</v>
      </c>
      <c r="AQ249">
        <v>1.1000000000000001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0</v>
      </c>
      <c r="BI249">
        <v>4</v>
      </c>
      <c r="BJ249" t="s">
        <v>295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 t="shared" si="249"/>
        <v>1459.9399999999998</v>
      </c>
      <c r="CQ249">
        <f t="shared" si="250"/>
        <v>0.08</v>
      </c>
      <c r="CR249">
        <f>(((((ET249*2))*BB249-((EU249*2))*BS249)+AE249*BS249)*AV249)</f>
        <v>0</v>
      </c>
      <c r="CS249">
        <f t="shared" si="251"/>
        <v>0</v>
      </c>
      <c r="CT249">
        <f t="shared" si="252"/>
        <v>1459.86</v>
      </c>
      <c r="CU249">
        <f t="shared" si="253"/>
        <v>0</v>
      </c>
      <c r="CV249">
        <f t="shared" si="254"/>
        <v>2.2000000000000002</v>
      </c>
      <c r="CW249">
        <f t="shared" si="255"/>
        <v>0</v>
      </c>
      <c r="CX249">
        <f t="shared" si="256"/>
        <v>0</v>
      </c>
      <c r="CY249">
        <f t="shared" si="257"/>
        <v>1021.9019999999999</v>
      </c>
      <c r="CZ249">
        <f t="shared" si="258"/>
        <v>145.98599999999999</v>
      </c>
      <c r="DC249" t="s">
        <v>3</v>
      </c>
      <c r="DD249" t="s">
        <v>117</v>
      </c>
      <c r="DE249" t="s">
        <v>117</v>
      </c>
      <c r="DF249" t="s">
        <v>117</v>
      </c>
      <c r="DG249" t="s">
        <v>117</v>
      </c>
      <c r="DH249" t="s">
        <v>3</v>
      </c>
      <c r="DI249" t="s">
        <v>117</v>
      </c>
      <c r="DJ249" t="s">
        <v>117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1013</v>
      </c>
      <c r="DV249" t="s">
        <v>242</v>
      </c>
      <c r="DW249" t="s">
        <v>242</v>
      </c>
      <c r="DX249">
        <v>1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19</v>
      </c>
      <c r="EH249">
        <v>0</v>
      </c>
      <c r="EI249" t="s">
        <v>3</v>
      </c>
      <c r="EJ249">
        <v>4</v>
      </c>
      <c r="EK249">
        <v>0</v>
      </c>
      <c r="EL249" t="s">
        <v>20</v>
      </c>
      <c r="EM249" t="s">
        <v>21</v>
      </c>
      <c r="EO249" t="s">
        <v>3</v>
      </c>
      <c r="EQ249">
        <v>1024</v>
      </c>
      <c r="ER249">
        <v>729.97</v>
      </c>
      <c r="ES249">
        <v>0.04</v>
      </c>
      <c r="ET249">
        <v>0</v>
      </c>
      <c r="EU249">
        <v>0</v>
      </c>
      <c r="EV249">
        <v>729.93</v>
      </c>
      <c r="EW249">
        <v>1.1000000000000001</v>
      </c>
      <c r="EX249">
        <v>0</v>
      </c>
      <c r="EY249">
        <v>0</v>
      </c>
      <c r="FQ249">
        <v>0</v>
      </c>
      <c r="FR249">
        <f t="shared" si="259"/>
        <v>0</v>
      </c>
      <c r="FS249">
        <v>0</v>
      </c>
      <c r="FX249">
        <v>70</v>
      </c>
      <c r="FY249">
        <v>10</v>
      </c>
      <c r="GA249" t="s">
        <v>3</v>
      </c>
      <c r="GD249">
        <v>0</v>
      </c>
      <c r="GF249">
        <v>-767716234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</v>
      </c>
      <c r="GL249">
        <f t="shared" si="260"/>
        <v>0</v>
      </c>
      <c r="GM249">
        <f t="shared" si="261"/>
        <v>2627.83</v>
      </c>
      <c r="GN249">
        <f t="shared" si="262"/>
        <v>0</v>
      </c>
      <c r="GO249">
        <f t="shared" si="263"/>
        <v>0</v>
      </c>
      <c r="GP249">
        <f t="shared" si="264"/>
        <v>2627.83</v>
      </c>
      <c r="GR249">
        <v>0</v>
      </c>
      <c r="GS249">
        <v>3</v>
      </c>
      <c r="GT249">
        <v>0</v>
      </c>
      <c r="GU249" t="s">
        <v>3</v>
      </c>
      <c r="GV249">
        <f t="shared" si="265"/>
        <v>0</v>
      </c>
      <c r="GW249">
        <v>1</v>
      </c>
      <c r="GX249">
        <f t="shared" si="266"/>
        <v>0</v>
      </c>
      <c r="HA249">
        <v>0</v>
      </c>
      <c r="HB249">
        <v>0</v>
      </c>
      <c r="HC249">
        <f t="shared" si="267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45" x14ac:dyDescent="0.2">
      <c r="A250">
        <v>17</v>
      </c>
      <c r="B250">
        <v>1</v>
      </c>
      <c r="D250">
        <f>ROW(EtalonRes!A211)</f>
        <v>211</v>
      </c>
      <c r="E250" t="s">
        <v>3</v>
      </c>
      <c r="F250" t="s">
        <v>296</v>
      </c>
      <c r="G250" t="s">
        <v>297</v>
      </c>
      <c r="H250" t="s">
        <v>298</v>
      </c>
      <c r="I250">
        <f>ROUND((1496.5)/100,9)</f>
        <v>14.965</v>
      </c>
      <c r="J250">
        <v>0</v>
      </c>
      <c r="K250">
        <f>ROUND((1496.5)/100,9)</f>
        <v>14.965</v>
      </c>
      <c r="O250">
        <f t="shared" si="235"/>
        <v>170660.85</v>
      </c>
      <c r="P250">
        <f t="shared" si="236"/>
        <v>70.63</v>
      </c>
      <c r="Q250">
        <f t="shared" si="237"/>
        <v>67324.539999999994</v>
      </c>
      <c r="R250">
        <f t="shared" si="238"/>
        <v>41019.660000000003</v>
      </c>
      <c r="S250">
        <f t="shared" si="239"/>
        <v>103265.68</v>
      </c>
      <c r="T250">
        <f t="shared" si="240"/>
        <v>0</v>
      </c>
      <c r="U250">
        <f t="shared" si="241"/>
        <v>196.49045000000001</v>
      </c>
      <c r="V250">
        <f t="shared" si="242"/>
        <v>0</v>
      </c>
      <c r="W250">
        <f t="shared" si="243"/>
        <v>0</v>
      </c>
      <c r="X250">
        <f t="shared" si="244"/>
        <v>72285.98</v>
      </c>
      <c r="Y250">
        <f t="shared" si="245"/>
        <v>10326.57</v>
      </c>
      <c r="AA250">
        <v>-1</v>
      </c>
      <c r="AB250">
        <f t="shared" si="246"/>
        <v>11404</v>
      </c>
      <c r="AC250">
        <f>ROUND((ES250),6)</f>
        <v>4.72</v>
      </c>
      <c r="AD250">
        <f>ROUND((((ET250)-(EU250))+AE250),6)</f>
        <v>4498.8</v>
      </c>
      <c r="AE250">
        <f>ROUND((EU250),6)</f>
        <v>2741.04</v>
      </c>
      <c r="AF250">
        <f>ROUND((EV250),6)</f>
        <v>6900.48</v>
      </c>
      <c r="AG250">
        <f t="shared" si="247"/>
        <v>0</v>
      </c>
      <c r="AH250">
        <f>(EW250)</f>
        <v>13.13</v>
      </c>
      <c r="AI250">
        <f>(EX250)</f>
        <v>0</v>
      </c>
      <c r="AJ250">
        <f t="shared" si="248"/>
        <v>0</v>
      </c>
      <c r="AK250">
        <v>11404</v>
      </c>
      <c r="AL250">
        <v>4.72</v>
      </c>
      <c r="AM250">
        <v>4498.8</v>
      </c>
      <c r="AN250">
        <v>2741.04</v>
      </c>
      <c r="AO250">
        <v>6900.48</v>
      </c>
      <c r="AP250">
        <v>0</v>
      </c>
      <c r="AQ250">
        <v>13.13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299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 t="shared" si="249"/>
        <v>170660.84999999998</v>
      </c>
      <c r="CQ250">
        <f t="shared" si="250"/>
        <v>4.72</v>
      </c>
      <c r="CR250">
        <f>((((ET250)*BB250-(EU250)*BS250)+AE250*BS250)*AV250)</f>
        <v>4498.8</v>
      </c>
      <c r="CS250">
        <f t="shared" si="251"/>
        <v>2741.04</v>
      </c>
      <c r="CT250">
        <f t="shared" si="252"/>
        <v>6900.48</v>
      </c>
      <c r="CU250">
        <f t="shared" si="253"/>
        <v>0</v>
      </c>
      <c r="CV250">
        <f t="shared" si="254"/>
        <v>13.13</v>
      </c>
      <c r="CW250">
        <f t="shared" si="255"/>
        <v>0</v>
      </c>
      <c r="CX250">
        <f t="shared" si="256"/>
        <v>0</v>
      </c>
      <c r="CY250">
        <f t="shared" si="257"/>
        <v>72285.975999999995</v>
      </c>
      <c r="CZ250">
        <f t="shared" si="258"/>
        <v>10326.567999999999</v>
      </c>
      <c r="DC250" t="s">
        <v>3</v>
      </c>
      <c r="DD250" t="s">
        <v>3</v>
      </c>
      <c r="DE250" t="s">
        <v>3</v>
      </c>
      <c r="DF250" t="s">
        <v>3</v>
      </c>
      <c r="DG250" t="s">
        <v>3</v>
      </c>
      <c r="DH250" t="s">
        <v>3</v>
      </c>
      <c r="DI250" t="s">
        <v>3</v>
      </c>
      <c r="DJ250" t="s">
        <v>3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1005</v>
      </c>
      <c r="DV250" t="s">
        <v>298</v>
      </c>
      <c r="DW250" t="s">
        <v>298</v>
      </c>
      <c r="DX250">
        <v>100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19</v>
      </c>
      <c r="EH250">
        <v>0</v>
      </c>
      <c r="EI250" t="s">
        <v>3</v>
      </c>
      <c r="EJ250">
        <v>4</v>
      </c>
      <c r="EK250">
        <v>0</v>
      </c>
      <c r="EL250" t="s">
        <v>20</v>
      </c>
      <c r="EM250" t="s">
        <v>21</v>
      </c>
      <c r="EO250" t="s">
        <v>3</v>
      </c>
      <c r="EQ250">
        <v>1311744</v>
      </c>
      <c r="ER250">
        <v>11404</v>
      </c>
      <c r="ES250">
        <v>4.72</v>
      </c>
      <c r="ET250">
        <v>4498.8</v>
      </c>
      <c r="EU250">
        <v>2741.04</v>
      </c>
      <c r="EV250">
        <v>6900.48</v>
      </c>
      <c r="EW250">
        <v>13.13</v>
      </c>
      <c r="EX250">
        <v>0</v>
      </c>
      <c r="EY250">
        <v>0</v>
      </c>
      <c r="FQ250">
        <v>0</v>
      </c>
      <c r="FR250">
        <f t="shared" si="259"/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-1858475948</v>
      </c>
      <c r="GG250">
        <v>2</v>
      </c>
      <c r="GH250">
        <v>1</v>
      </c>
      <c r="GI250">
        <v>-2</v>
      </c>
      <c r="GJ250">
        <v>0</v>
      </c>
      <c r="GK250">
        <f>ROUND(R250*(R12)/100,2)</f>
        <v>44301.23</v>
      </c>
      <c r="GL250">
        <f t="shared" si="260"/>
        <v>0</v>
      </c>
      <c r="GM250">
        <f t="shared" si="261"/>
        <v>297574.63</v>
      </c>
      <c r="GN250">
        <f t="shared" si="262"/>
        <v>0</v>
      </c>
      <c r="GO250">
        <f t="shared" si="263"/>
        <v>0</v>
      </c>
      <c r="GP250">
        <f t="shared" si="264"/>
        <v>297574.63</v>
      </c>
      <c r="GR250">
        <v>0</v>
      </c>
      <c r="GS250">
        <v>3</v>
      </c>
      <c r="GT250">
        <v>0</v>
      </c>
      <c r="GU250" t="s">
        <v>3</v>
      </c>
      <c r="GV250">
        <f t="shared" si="265"/>
        <v>0</v>
      </c>
      <c r="GW250">
        <v>1</v>
      </c>
      <c r="GX250">
        <f t="shared" si="266"/>
        <v>0</v>
      </c>
      <c r="HA250">
        <v>0</v>
      </c>
      <c r="HB250">
        <v>0</v>
      </c>
      <c r="HC250">
        <f t="shared" si="267"/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D251">
        <f>ROW(EtalonRes!A216)</f>
        <v>216</v>
      </c>
      <c r="E251" t="s">
        <v>3</v>
      </c>
      <c r="F251" t="s">
        <v>300</v>
      </c>
      <c r="G251" t="s">
        <v>301</v>
      </c>
      <c r="H251" t="s">
        <v>298</v>
      </c>
      <c r="I251">
        <f>ROUND(1496.5/100,9)</f>
        <v>14.965</v>
      </c>
      <c r="J251">
        <v>0</v>
      </c>
      <c r="K251">
        <f>ROUND(1496.5/100,9)</f>
        <v>14.965</v>
      </c>
      <c r="O251">
        <f t="shared" si="235"/>
        <v>26948.67</v>
      </c>
      <c r="P251">
        <f t="shared" si="236"/>
        <v>244.38</v>
      </c>
      <c r="Q251">
        <f t="shared" si="237"/>
        <v>10179.34</v>
      </c>
      <c r="R251">
        <f t="shared" si="238"/>
        <v>6429.86</v>
      </c>
      <c r="S251">
        <f t="shared" si="239"/>
        <v>16524.95</v>
      </c>
      <c r="T251">
        <f t="shared" si="240"/>
        <v>0</v>
      </c>
      <c r="U251">
        <f t="shared" si="241"/>
        <v>31.426500000000001</v>
      </c>
      <c r="V251">
        <f t="shared" si="242"/>
        <v>0</v>
      </c>
      <c r="W251">
        <f t="shared" si="243"/>
        <v>0</v>
      </c>
      <c r="X251">
        <f t="shared" si="244"/>
        <v>11567.47</v>
      </c>
      <c r="Y251">
        <f t="shared" si="245"/>
        <v>1652.5</v>
      </c>
      <c r="AA251">
        <v>-1</v>
      </c>
      <c r="AB251">
        <f t="shared" si="246"/>
        <v>1800.78</v>
      </c>
      <c r="AC251">
        <f>ROUND((ES251),6)</f>
        <v>16.329999999999998</v>
      </c>
      <c r="AD251">
        <f>ROUND((((ET251)-(EU251))+AE251),6)</f>
        <v>680.21</v>
      </c>
      <c r="AE251">
        <f>ROUND((EU251),6)</f>
        <v>429.66</v>
      </c>
      <c r="AF251">
        <f>ROUND((EV251),6)</f>
        <v>1104.24</v>
      </c>
      <c r="AG251">
        <f t="shared" si="247"/>
        <v>0</v>
      </c>
      <c r="AH251">
        <f>(EW251)</f>
        <v>2.1</v>
      </c>
      <c r="AI251">
        <f>(EX251)</f>
        <v>0</v>
      </c>
      <c r="AJ251">
        <f t="shared" si="248"/>
        <v>0</v>
      </c>
      <c r="AK251">
        <v>1800.78</v>
      </c>
      <c r="AL251">
        <v>16.329999999999998</v>
      </c>
      <c r="AM251">
        <v>680.21</v>
      </c>
      <c r="AN251">
        <v>429.66</v>
      </c>
      <c r="AO251">
        <v>1104.24</v>
      </c>
      <c r="AP251">
        <v>0</v>
      </c>
      <c r="AQ251">
        <v>2.1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302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 t="shared" si="249"/>
        <v>26948.67</v>
      </c>
      <c r="CQ251">
        <f t="shared" si="250"/>
        <v>16.329999999999998</v>
      </c>
      <c r="CR251">
        <f>((((ET251)*BB251-(EU251)*BS251)+AE251*BS251)*AV251)</f>
        <v>680.21</v>
      </c>
      <c r="CS251">
        <f t="shared" si="251"/>
        <v>429.66</v>
      </c>
      <c r="CT251">
        <f t="shared" si="252"/>
        <v>1104.24</v>
      </c>
      <c r="CU251">
        <f t="shared" si="253"/>
        <v>0</v>
      </c>
      <c r="CV251">
        <f t="shared" si="254"/>
        <v>2.1</v>
      </c>
      <c r="CW251">
        <f t="shared" si="255"/>
        <v>0</v>
      </c>
      <c r="CX251">
        <f t="shared" si="256"/>
        <v>0</v>
      </c>
      <c r="CY251">
        <f t="shared" si="257"/>
        <v>11567.465</v>
      </c>
      <c r="CZ251">
        <f t="shared" si="258"/>
        <v>1652.4949999999999</v>
      </c>
      <c r="DC251" t="s">
        <v>3</v>
      </c>
      <c r="DD251" t="s">
        <v>3</v>
      </c>
      <c r="DE251" t="s">
        <v>3</v>
      </c>
      <c r="DF251" t="s">
        <v>3</v>
      </c>
      <c r="DG251" t="s">
        <v>3</v>
      </c>
      <c r="DH251" t="s">
        <v>3</v>
      </c>
      <c r="DI251" t="s">
        <v>3</v>
      </c>
      <c r="DJ251" t="s">
        <v>3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1005</v>
      </c>
      <c r="DV251" t="s">
        <v>298</v>
      </c>
      <c r="DW251" t="s">
        <v>298</v>
      </c>
      <c r="DX251">
        <v>100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19</v>
      </c>
      <c r="EH251">
        <v>0</v>
      </c>
      <c r="EI251" t="s">
        <v>3</v>
      </c>
      <c r="EJ251">
        <v>4</v>
      </c>
      <c r="EK251">
        <v>0</v>
      </c>
      <c r="EL251" t="s">
        <v>20</v>
      </c>
      <c r="EM251" t="s">
        <v>21</v>
      </c>
      <c r="EO251" t="s">
        <v>3</v>
      </c>
      <c r="EQ251">
        <v>1311744</v>
      </c>
      <c r="ER251">
        <v>1800.78</v>
      </c>
      <c r="ES251">
        <v>16.329999999999998</v>
      </c>
      <c r="ET251">
        <v>680.21</v>
      </c>
      <c r="EU251">
        <v>429.66</v>
      </c>
      <c r="EV251">
        <v>1104.24</v>
      </c>
      <c r="EW251">
        <v>2.1</v>
      </c>
      <c r="EX251">
        <v>0</v>
      </c>
      <c r="EY251">
        <v>0</v>
      </c>
      <c r="FQ251">
        <v>0</v>
      </c>
      <c r="FR251">
        <f t="shared" si="259"/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-1860406526</v>
      </c>
      <c r="GG251">
        <v>2</v>
      </c>
      <c r="GH251">
        <v>1</v>
      </c>
      <c r="GI251">
        <v>-2</v>
      </c>
      <c r="GJ251">
        <v>0</v>
      </c>
      <c r="GK251">
        <f>ROUND(R251*(R12)/100,2)</f>
        <v>6944.25</v>
      </c>
      <c r="GL251">
        <f t="shared" si="260"/>
        <v>0</v>
      </c>
      <c r="GM251">
        <f t="shared" si="261"/>
        <v>47112.89</v>
      </c>
      <c r="GN251">
        <f t="shared" si="262"/>
        <v>0</v>
      </c>
      <c r="GO251">
        <f t="shared" si="263"/>
        <v>0</v>
      </c>
      <c r="GP251">
        <f t="shared" si="264"/>
        <v>47112.89</v>
      </c>
      <c r="GR251">
        <v>0</v>
      </c>
      <c r="GS251">
        <v>3</v>
      </c>
      <c r="GT251">
        <v>0</v>
      </c>
      <c r="GU251" t="s">
        <v>3</v>
      </c>
      <c r="GV251">
        <f t="shared" si="265"/>
        <v>0</v>
      </c>
      <c r="GW251">
        <v>1</v>
      </c>
      <c r="GX251">
        <f t="shared" si="266"/>
        <v>0</v>
      </c>
      <c r="HA251">
        <v>0</v>
      </c>
      <c r="HB251">
        <v>0</v>
      </c>
      <c r="HC251">
        <f t="shared" si="267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D252">
        <f>ROW(EtalonRes!A217)</f>
        <v>217</v>
      </c>
      <c r="E252" t="s">
        <v>3</v>
      </c>
      <c r="F252" t="s">
        <v>303</v>
      </c>
      <c r="G252" t="s">
        <v>304</v>
      </c>
      <c r="H252" t="s">
        <v>31</v>
      </c>
      <c r="I252">
        <f>ROUND(2+16+2+16+2+22+2+22+2+2,9)</f>
        <v>88</v>
      </c>
      <c r="J252">
        <v>0</v>
      </c>
      <c r="K252">
        <f>ROUND(2+16+2+16+2+22+2+22+2+2,9)</f>
        <v>88</v>
      </c>
      <c r="O252">
        <f t="shared" si="235"/>
        <v>36461.919999999998</v>
      </c>
      <c r="P252">
        <f t="shared" si="236"/>
        <v>0</v>
      </c>
      <c r="Q252">
        <f t="shared" si="237"/>
        <v>0</v>
      </c>
      <c r="R252">
        <f t="shared" si="238"/>
        <v>0</v>
      </c>
      <c r="S252">
        <f t="shared" si="239"/>
        <v>36461.919999999998</v>
      </c>
      <c r="T252">
        <f t="shared" si="240"/>
        <v>0</v>
      </c>
      <c r="U252">
        <f t="shared" si="241"/>
        <v>70.400000000000006</v>
      </c>
      <c r="V252">
        <f t="shared" si="242"/>
        <v>0</v>
      </c>
      <c r="W252">
        <f t="shared" si="243"/>
        <v>0</v>
      </c>
      <c r="X252">
        <f t="shared" si="244"/>
        <v>25523.34</v>
      </c>
      <c r="Y252">
        <f t="shared" si="245"/>
        <v>3646.19</v>
      </c>
      <c r="AA252">
        <v>-1</v>
      </c>
      <c r="AB252">
        <f t="shared" si="246"/>
        <v>414.34</v>
      </c>
      <c r="AC252">
        <f>ROUND(((ES252*2)),6)</f>
        <v>0</v>
      </c>
      <c r="AD252">
        <f>ROUND(((((ET252*2))-((EU252*2)))+AE252),6)</f>
        <v>0</v>
      </c>
      <c r="AE252">
        <f>ROUND(((EU252*2)),6)</f>
        <v>0</v>
      </c>
      <c r="AF252">
        <f>ROUND(((EV252*2)),6)</f>
        <v>414.34</v>
      </c>
      <c r="AG252">
        <f t="shared" si="247"/>
        <v>0</v>
      </c>
      <c r="AH252">
        <f>((EW252*2))</f>
        <v>0.8</v>
      </c>
      <c r="AI252">
        <f>((EX252*2))</f>
        <v>0</v>
      </c>
      <c r="AJ252">
        <f t="shared" si="248"/>
        <v>0</v>
      </c>
      <c r="AK252">
        <v>207.17</v>
      </c>
      <c r="AL252">
        <v>0</v>
      </c>
      <c r="AM252">
        <v>0</v>
      </c>
      <c r="AN252">
        <v>0</v>
      </c>
      <c r="AO252">
        <v>207.17</v>
      </c>
      <c r="AP252">
        <v>0</v>
      </c>
      <c r="AQ252">
        <v>0.4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305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249"/>
        <v>36461.919999999998</v>
      </c>
      <c r="CQ252">
        <f t="shared" si="250"/>
        <v>0</v>
      </c>
      <c r="CR252">
        <f>(((((ET252*2))*BB252-((EU252*2))*BS252)+AE252*BS252)*AV252)</f>
        <v>0</v>
      </c>
      <c r="CS252">
        <f t="shared" si="251"/>
        <v>0</v>
      </c>
      <c r="CT252">
        <f t="shared" si="252"/>
        <v>414.34</v>
      </c>
      <c r="CU252">
        <f t="shared" si="253"/>
        <v>0</v>
      </c>
      <c r="CV252">
        <f t="shared" si="254"/>
        <v>0.8</v>
      </c>
      <c r="CW252">
        <f t="shared" si="255"/>
        <v>0</v>
      </c>
      <c r="CX252">
        <f t="shared" si="256"/>
        <v>0</v>
      </c>
      <c r="CY252">
        <f t="shared" si="257"/>
        <v>25523.343999999997</v>
      </c>
      <c r="CZ252">
        <f t="shared" si="258"/>
        <v>3646.1919999999996</v>
      </c>
      <c r="DC252" t="s">
        <v>3</v>
      </c>
      <c r="DD252" t="s">
        <v>117</v>
      </c>
      <c r="DE252" t="s">
        <v>117</v>
      </c>
      <c r="DF252" t="s">
        <v>117</v>
      </c>
      <c r="DG252" t="s">
        <v>117</v>
      </c>
      <c r="DH252" t="s">
        <v>3</v>
      </c>
      <c r="DI252" t="s">
        <v>117</v>
      </c>
      <c r="DJ252" t="s">
        <v>117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16987630</v>
      </c>
      <c r="DV252" t="s">
        <v>31</v>
      </c>
      <c r="DW252" t="s">
        <v>31</v>
      </c>
      <c r="DX252">
        <v>1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19</v>
      </c>
      <c r="EH252">
        <v>0</v>
      </c>
      <c r="EI252" t="s">
        <v>3</v>
      </c>
      <c r="EJ252">
        <v>4</v>
      </c>
      <c r="EK252">
        <v>0</v>
      </c>
      <c r="EL252" t="s">
        <v>20</v>
      </c>
      <c r="EM252" t="s">
        <v>21</v>
      </c>
      <c r="EO252" t="s">
        <v>3</v>
      </c>
      <c r="EQ252">
        <v>1311744</v>
      </c>
      <c r="ER252">
        <v>207.17</v>
      </c>
      <c r="ES252">
        <v>0</v>
      </c>
      <c r="ET252">
        <v>0</v>
      </c>
      <c r="EU252">
        <v>0</v>
      </c>
      <c r="EV252">
        <v>207.17</v>
      </c>
      <c r="EW252">
        <v>0.4</v>
      </c>
      <c r="EX252">
        <v>0</v>
      </c>
      <c r="EY252">
        <v>0</v>
      </c>
      <c r="FQ252">
        <v>0</v>
      </c>
      <c r="FR252">
        <f t="shared" si="259"/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-1777342782</v>
      </c>
      <c r="GG252">
        <v>2</v>
      </c>
      <c r="GH252">
        <v>1</v>
      </c>
      <c r="GI252">
        <v>-2</v>
      </c>
      <c r="GJ252">
        <v>0</v>
      </c>
      <c r="GK252">
        <f>ROUND(R252*(R12)/100,2)</f>
        <v>0</v>
      </c>
      <c r="GL252">
        <f t="shared" si="260"/>
        <v>0</v>
      </c>
      <c r="GM252">
        <f t="shared" si="261"/>
        <v>65631.45</v>
      </c>
      <c r="GN252">
        <f t="shared" si="262"/>
        <v>0</v>
      </c>
      <c r="GO252">
        <f t="shared" si="263"/>
        <v>0</v>
      </c>
      <c r="GP252">
        <f t="shared" si="264"/>
        <v>65631.45</v>
      </c>
      <c r="GR252">
        <v>0</v>
      </c>
      <c r="GS252">
        <v>3</v>
      </c>
      <c r="GT252">
        <v>0</v>
      </c>
      <c r="GU252" t="s">
        <v>3</v>
      </c>
      <c r="GV252">
        <f t="shared" si="265"/>
        <v>0</v>
      </c>
      <c r="GW252">
        <v>1</v>
      </c>
      <c r="GX252">
        <f t="shared" si="266"/>
        <v>0</v>
      </c>
      <c r="HA252">
        <v>0</v>
      </c>
      <c r="HB252">
        <v>0</v>
      </c>
      <c r="HC252">
        <f t="shared" si="267"/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D253">
        <f>ROW(EtalonRes!A220)</f>
        <v>220</v>
      </c>
      <c r="E253" t="s">
        <v>306</v>
      </c>
      <c r="F253" t="s">
        <v>307</v>
      </c>
      <c r="G253" t="s">
        <v>308</v>
      </c>
      <c r="H253" t="s">
        <v>31</v>
      </c>
      <c r="I253">
        <v>1</v>
      </c>
      <c r="J253">
        <v>0</v>
      </c>
      <c r="K253">
        <v>1</v>
      </c>
      <c r="O253">
        <f t="shared" si="235"/>
        <v>300.06</v>
      </c>
      <c r="P253">
        <f t="shared" si="236"/>
        <v>0.94</v>
      </c>
      <c r="Q253">
        <f t="shared" si="237"/>
        <v>52.12</v>
      </c>
      <c r="R253">
        <f t="shared" si="238"/>
        <v>33.04</v>
      </c>
      <c r="S253">
        <f t="shared" si="239"/>
        <v>247</v>
      </c>
      <c r="T253">
        <f t="shared" si="240"/>
        <v>0</v>
      </c>
      <c r="U253">
        <f t="shared" si="241"/>
        <v>0.4</v>
      </c>
      <c r="V253">
        <f t="shared" si="242"/>
        <v>0</v>
      </c>
      <c r="W253">
        <f t="shared" si="243"/>
        <v>0</v>
      </c>
      <c r="X253">
        <f t="shared" si="244"/>
        <v>172.9</v>
      </c>
      <c r="Y253">
        <f t="shared" si="245"/>
        <v>24.7</v>
      </c>
      <c r="AA253">
        <v>1471988752</v>
      </c>
      <c r="AB253">
        <f t="shared" si="246"/>
        <v>300.06</v>
      </c>
      <c r="AC253">
        <f>ROUND(((ES253*2)),6)</f>
        <v>0.94</v>
      </c>
      <c r="AD253">
        <f>ROUND(((((ET253*2))-((EU253*2)))+AE253),6)</f>
        <v>52.12</v>
      </c>
      <c r="AE253">
        <f>ROUND(((EU253*2)),6)</f>
        <v>33.04</v>
      </c>
      <c r="AF253">
        <f>ROUND(((EV253*2)),6)</f>
        <v>247</v>
      </c>
      <c r="AG253">
        <f t="shared" si="247"/>
        <v>0</v>
      </c>
      <c r="AH253">
        <f>((EW253*2))</f>
        <v>0.4</v>
      </c>
      <c r="AI253">
        <f>((EX253*2))</f>
        <v>0</v>
      </c>
      <c r="AJ253">
        <f t="shared" si="248"/>
        <v>0</v>
      </c>
      <c r="AK253">
        <v>150.03</v>
      </c>
      <c r="AL253">
        <v>0.47</v>
      </c>
      <c r="AM253">
        <v>26.06</v>
      </c>
      <c r="AN253">
        <v>16.52</v>
      </c>
      <c r="AO253">
        <v>123.5</v>
      </c>
      <c r="AP253">
        <v>0</v>
      </c>
      <c r="AQ253">
        <v>0.2</v>
      </c>
      <c r="AR253">
        <v>0</v>
      </c>
      <c r="AS253">
        <v>0</v>
      </c>
      <c r="AT253">
        <v>70</v>
      </c>
      <c r="AU253">
        <v>10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4</v>
      </c>
      <c r="BJ253" t="s">
        <v>309</v>
      </c>
      <c r="BM253">
        <v>0</v>
      </c>
      <c r="BN253">
        <v>0</v>
      </c>
      <c r="BO253" t="s">
        <v>3</v>
      </c>
      <c r="BP253">
        <v>0</v>
      </c>
      <c r="BQ253">
        <v>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70</v>
      </c>
      <c r="CA253">
        <v>10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249"/>
        <v>300.06</v>
      </c>
      <c r="CQ253">
        <f t="shared" si="250"/>
        <v>0.94</v>
      </c>
      <c r="CR253">
        <f>(((((ET253*2))*BB253-((EU253*2))*BS253)+AE253*BS253)*AV253)</f>
        <v>52.12</v>
      </c>
      <c r="CS253">
        <f t="shared" si="251"/>
        <v>33.04</v>
      </c>
      <c r="CT253">
        <f t="shared" si="252"/>
        <v>247</v>
      </c>
      <c r="CU253">
        <f t="shared" si="253"/>
        <v>0</v>
      </c>
      <c r="CV253">
        <f t="shared" si="254"/>
        <v>0.4</v>
      </c>
      <c r="CW253">
        <f t="shared" si="255"/>
        <v>0</v>
      </c>
      <c r="CX253">
        <f t="shared" si="256"/>
        <v>0</v>
      </c>
      <c r="CY253">
        <f t="shared" si="257"/>
        <v>172.9</v>
      </c>
      <c r="CZ253">
        <f t="shared" si="258"/>
        <v>24.7</v>
      </c>
      <c r="DC253" t="s">
        <v>3</v>
      </c>
      <c r="DD253" t="s">
        <v>117</v>
      </c>
      <c r="DE253" t="s">
        <v>117</v>
      </c>
      <c r="DF253" t="s">
        <v>117</v>
      </c>
      <c r="DG253" t="s">
        <v>117</v>
      </c>
      <c r="DH253" t="s">
        <v>3</v>
      </c>
      <c r="DI253" t="s">
        <v>117</v>
      </c>
      <c r="DJ253" t="s">
        <v>117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16987630</v>
      </c>
      <c r="DV253" t="s">
        <v>31</v>
      </c>
      <c r="DW253" t="s">
        <v>31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1441815344</v>
      </c>
      <c r="EF253">
        <v>1</v>
      </c>
      <c r="EG253" t="s">
        <v>19</v>
      </c>
      <c r="EH253">
        <v>0</v>
      </c>
      <c r="EI253" t="s">
        <v>3</v>
      </c>
      <c r="EJ253">
        <v>4</v>
      </c>
      <c r="EK253">
        <v>0</v>
      </c>
      <c r="EL253" t="s">
        <v>20</v>
      </c>
      <c r="EM253" t="s">
        <v>21</v>
      </c>
      <c r="EO253" t="s">
        <v>3</v>
      </c>
      <c r="EQ253">
        <v>0</v>
      </c>
      <c r="ER253">
        <v>150.03</v>
      </c>
      <c r="ES253">
        <v>0.47</v>
      </c>
      <c r="ET253">
        <v>26.06</v>
      </c>
      <c r="EU253">
        <v>16.52</v>
      </c>
      <c r="EV253">
        <v>123.5</v>
      </c>
      <c r="EW253">
        <v>0.2</v>
      </c>
      <c r="EX253">
        <v>0</v>
      </c>
      <c r="EY253">
        <v>0</v>
      </c>
      <c r="FQ253">
        <v>0</v>
      </c>
      <c r="FR253">
        <f t="shared" si="259"/>
        <v>0</v>
      </c>
      <c r="FS253">
        <v>0</v>
      </c>
      <c r="FX253">
        <v>70</v>
      </c>
      <c r="FY253">
        <v>10</v>
      </c>
      <c r="GA253" t="s">
        <v>3</v>
      </c>
      <c r="GD253">
        <v>0</v>
      </c>
      <c r="GF253">
        <v>314993197</v>
      </c>
      <c r="GG253">
        <v>2</v>
      </c>
      <c r="GH253">
        <v>1</v>
      </c>
      <c r="GI253">
        <v>-2</v>
      </c>
      <c r="GJ253">
        <v>0</v>
      </c>
      <c r="GK253">
        <f>ROUND(R253*(R12)/100,2)</f>
        <v>35.68</v>
      </c>
      <c r="GL253">
        <f t="shared" si="260"/>
        <v>0</v>
      </c>
      <c r="GM253">
        <f t="shared" si="261"/>
        <v>533.34</v>
      </c>
      <c r="GN253">
        <f t="shared" si="262"/>
        <v>0</v>
      </c>
      <c r="GO253">
        <f t="shared" si="263"/>
        <v>0</v>
      </c>
      <c r="GP253">
        <f t="shared" si="264"/>
        <v>533.34</v>
      </c>
      <c r="GR253">
        <v>0</v>
      </c>
      <c r="GS253">
        <v>3</v>
      </c>
      <c r="GT253">
        <v>0</v>
      </c>
      <c r="GU253" t="s">
        <v>3</v>
      </c>
      <c r="GV253">
        <f t="shared" si="265"/>
        <v>0</v>
      </c>
      <c r="GW253">
        <v>1</v>
      </c>
      <c r="GX253">
        <f t="shared" si="266"/>
        <v>0</v>
      </c>
      <c r="HA253">
        <v>0</v>
      </c>
      <c r="HB253">
        <v>0</v>
      </c>
      <c r="HC253">
        <f t="shared" si="267"/>
        <v>0</v>
      </c>
      <c r="HE253" t="s">
        <v>3</v>
      </c>
      <c r="HF253" t="s">
        <v>3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D254">
        <f>ROW(EtalonRes!A223)</f>
        <v>223</v>
      </c>
      <c r="E254" t="s">
        <v>3</v>
      </c>
      <c r="F254" t="s">
        <v>201</v>
      </c>
      <c r="G254" t="s">
        <v>202</v>
      </c>
      <c r="H254" t="s">
        <v>31</v>
      </c>
      <c r="I254">
        <v>4</v>
      </c>
      <c r="J254">
        <v>0</v>
      </c>
      <c r="K254">
        <v>4</v>
      </c>
      <c r="O254">
        <f t="shared" si="235"/>
        <v>7849.44</v>
      </c>
      <c r="P254">
        <f t="shared" si="236"/>
        <v>10.08</v>
      </c>
      <c r="Q254">
        <f t="shared" si="237"/>
        <v>3127.2</v>
      </c>
      <c r="R254">
        <f t="shared" si="238"/>
        <v>1982.88</v>
      </c>
      <c r="S254">
        <f t="shared" si="239"/>
        <v>4712.16</v>
      </c>
      <c r="T254">
        <f t="shared" si="240"/>
        <v>0</v>
      </c>
      <c r="U254">
        <f t="shared" si="241"/>
        <v>6.72</v>
      </c>
      <c r="V254">
        <f t="shared" si="242"/>
        <v>0</v>
      </c>
      <c r="W254">
        <f t="shared" si="243"/>
        <v>0</v>
      </c>
      <c r="X254">
        <f t="shared" si="244"/>
        <v>3298.51</v>
      </c>
      <c r="Y254">
        <f t="shared" si="245"/>
        <v>471.22</v>
      </c>
      <c r="AA254">
        <v>-1</v>
      </c>
      <c r="AB254">
        <f t="shared" si="246"/>
        <v>1962.36</v>
      </c>
      <c r="AC254">
        <f>ROUND(((ES254*4)),6)</f>
        <v>2.52</v>
      </c>
      <c r="AD254">
        <f>ROUND(((((ET254*4))-((EU254*4)))+AE254),6)</f>
        <v>781.8</v>
      </c>
      <c r="AE254">
        <f t="shared" ref="AE254:AF256" si="270">ROUND(((EU254*4)),6)</f>
        <v>495.72</v>
      </c>
      <c r="AF254">
        <f t="shared" si="270"/>
        <v>1178.04</v>
      </c>
      <c r="AG254">
        <f t="shared" si="247"/>
        <v>0</v>
      </c>
      <c r="AH254">
        <f t="shared" ref="AH254:AI256" si="271">((EW254*4))</f>
        <v>1.68</v>
      </c>
      <c r="AI254">
        <f t="shared" si="271"/>
        <v>0</v>
      </c>
      <c r="AJ254">
        <f t="shared" si="248"/>
        <v>0</v>
      </c>
      <c r="AK254">
        <v>490.59</v>
      </c>
      <c r="AL254">
        <v>0.63</v>
      </c>
      <c r="AM254">
        <v>195.45</v>
      </c>
      <c r="AN254">
        <v>123.93</v>
      </c>
      <c r="AO254">
        <v>294.51</v>
      </c>
      <c r="AP254">
        <v>0</v>
      </c>
      <c r="AQ254">
        <v>0.42</v>
      </c>
      <c r="AR254">
        <v>0</v>
      </c>
      <c r="AS254">
        <v>0</v>
      </c>
      <c r="AT254">
        <v>70</v>
      </c>
      <c r="AU254">
        <v>10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0</v>
      </c>
      <c r="BI254">
        <v>4</v>
      </c>
      <c r="BJ254" t="s">
        <v>203</v>
      </c>
      <c r="BM254">
        <v>0</v>
      </c>
      <c r="BN254">
        <v>0</v>
      </c>
      <c r="BO254" t="s">
        <v>3</v>
      </c>
      <c r="BP254">
        <v>0</v>
      </c>
      <c r="BQ254">
        <v>1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70</v>
      </c>
      <c r="CA254">
        <v>10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49"/>
        <v>7849.44</v>
      </c>
      <c r="CQ254">
        <f t="shared" si="250"/>
        <v>2.52</v>
      </c>
      <c r="CR254">
        <f>(((((ET254*4))*BB254-((EU254*4))*BS254)+AE254*BS254)*AV254)</f>
        <v>781.8</v>
      </c>
      <c r="CS254">
        <f t="shared" si="251"/>
        <v>495.72</v>
      </c>
      <c r="CT254">
        <f t="shared" si="252"/>
        <v>1178.04</v>
      </c>
      <c r="CU254">
        <f t="shared" si="253"/>
        <v>0</v>
      </c>
      <c r="CV254">
        <f t="shared" si="254"/>
        <v>1.68</v>
      </c>
      <c r="CW254">
        <f t="shared" si="255"/>
        <v>0</v>
      </c>
      <c r="CX254">
        <f t="shared" si="256"/>
        <v>0</v>
      </c>
      <c r="CY254">
        <f t="shared" si="257"/>
        <v>3298.5120000000002</v>
      </c>
      <c r="CZ254">
        <f t="shared" si="258"/>
        <v>471.21600000000001</v>
      </c>
      <c r="DC254" t="s">
        <v>3</v>
      </c>
      <c r="DD254" t="s">
        <v>25</v>
      </c>
      <c r="DE254" t="s">
        <v>25</v>
      </c>
      <c r="DF254" t="s">
        <v>25</v>
      </c>
      <c r="DG254" t="s">
        <v>25</v>
      </c>
      <c r="DH254" t="s">
        <v>3</v>
      </c>
      <c r="DI254" t="s">
        <v>25</v>
      </c>
      <c r="DJ254" t="s">
        <v>25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16987630</v>
      </c>
      <c r="DV254" t="s">
        <v>31</v>
      </c>
      <c r="DW254" t="s">
        <v>31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1441815344</v>
      </c>
      <c r="EF254">
        <v>1</v>
      </c>
      <c r="EG254" t="s">
        <v>19</v>
      </c>
      <c r="EH254">
        <v>0</v>
      </c>
      <c r="EI254" t="s">
        <v>3</v>
      </c>
      <c r="EJ254">
        <v>4</v>
      </c>
      <c r="EK254">
        <v>0</v>
      </c>
      <c r="EL254" t="s">
        <v>20</v>
      </c>
      <c r="EM254" t="s">
        <v>21</v>
      </c>
      <c r="EO254" t="s">
        <v>3</v>
      </c>
      <c r="EQ254">
        <v>1024</v>
      </c>
      <c r="ER254">
        <v>490.59</v>
      </c>
      <c r="ES254">
        <v>0.63</v>
      </c>
      <c r="ET254">
        <v>195.45</v>
      </c>
      <c r="EU254">
        <v>123.93</v>
      </c>
      <c r="EV254">
        <v>294.51</v>
      </c>
      <c r="EW254">
        <v>0.42</v>
      </c>
      <c r="EX254">
        <v>0</v>
      </c>
      <c r="EY254">
        <v>0</v>
      </c>
      <c r="FQ254">
        <v>0</v>
      </c>
      <c r="FR254">
        <f t="shared" si="259"/>
        <v>0</v>
      </c>
      <c r="FS254">
        <v>0</v>
      </c>
      <c r="FX254">
        <v>70</v>
      </c>
      <c r="FY254">
        <v>10</v>
      </c>
      <c r="GA254" t="s">
        <v>3</v>
      </c>
      <c r="GD254">
        <v>0</v>
      </c>
      <c r="GF254">
        <v>-364815351</v>
      </c>
      <c r="GG254">
        <v>2</v>
      </c>
      <c r="GH254">
        <v>1</v>
      </c>
      <c r="GI254">
        <v>-2</v>
      </c>
      <c r="GJ254">
        <v>0</v>
      </c>
      <c r="GK254">
        <f>ROUND(R254*(R12)/100,2)</f>
        <v>2141.5100000000002</v>
      </c>
      <c r="GL254">
        <f t="shared" si="260"/>
        <v>0</v>
      </c>
      <c r="GM254">
        <f t="shared" si="261"/>
        <v>13760.68</v>
      </c>
      <c r="GN254">
        <f t="shared" si="262"/>
        <v>0</v>
      </c>
      <c r="GO254">
        <f t="shared" si="263"/>
        <v>0</v>
      </c>
      <c r="GP254">
        <f t="shared" si="264"/>
        <v>13760.68</v>
      </c>
      <c r="GR254">
        <v>0</v>
      </c>
      <c r="GS254">
        <v>3</v>
      </c>
      <c r="GT254">
        <v>0</v>
      </c>
      <c r="GU254" t="s">
        <v>3</v>
      </c>
      <c r="GV254">
        <f t="shared" si="265"/>
        <v>0</v>
      </c>
      <c r="GW254">
        <v>1</v>
      </c>
      <c r="GX254">
        <f t="shared" si="266"/>
        <v>0</v>
      </c>
      <c r="HA254">
        <v>0</v>
      </c>
      <c r="HB254">
        <v>0</v>
      </c>
      <c r="HC254">
        <f t="shared" si="267"/>
        <v>0</v>
      </c>
      <c r="HE254" t="s">
        <v>3</v>
      </c>
      <c r="HF254" t="s">
        <v>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5" spans="1:245" x14ac:dyDescent="0.2">
      <c r="A255">
        <v>17</v>
      </c>
      <c r="B255">
        <v>1</v>
      </c>
      <c r="D255">
        <f>ROW(EtalonRes!A224)</f>
        <v>224</v>
      </c>
      <c r="E255" t="s">
        <v>3</v>
      </c>
      <c r="F255" t="s">
        <v>22</v>
      </c>
      <c r="G255" t="s">
        <v>23</v>
      </c>
      <c r="H255" t="s">
        <v>17</v>
      </c>
      <c r="I255">
        <f>ROUND((135+270+120+144)*0.25*0.1/100,9)</f>
        <v>0.16725000000000001</v>
      </c>
      <c r="J255">
        <v>0</v>
      </c>
      <c r="K255">
        <f>ROUND((135+270+120+144)*0.25*0.1/100,9)</f>
        <v>0.16725000000000001</v>
      </c>
      <c r="O255">
        <f t="shared" si="235"/>
        <v>338.48</v>
      </c>
      <c r="P255">
        <f t="shared" si="236"/>
        <v>0</v>
      </c>
      <c r="Q255">
        <f t="shared" si="237"/>
        <v>0</v>
      </c>
      <c r="R255">
        <f t="shared" si="238"/>
        <v>0</v>
      </c>
      <c r="S255">
        <f t="shared" si="239"/>
        <v>338.48</v>
      </c>
      <c r="T255">
        <f t="shared" si="240"/>
        <v>0</v>
      </c>
      <c r="U255">
        <f t="shared" si="241"/>
        <v>0.60210000000000008</v>
      </c>
      <c r="V255">
        <f t="shared" si="242"/>
        <v>0</v>
      </c>
      <c r="W255">
        <f t="shared" si="243"/>
        <v>0</v>
      </c>
      <c r="X255">
        <f t="shared" si="244"/>
        <v>236.94</v>
      </c>
      <c r="Y255">
        <f t="shared" si="245"/>
        <v>33.85</v>
      </c>
      <c r="AA255">
        <v>-1</v>
      </c>
      <c r="AB255">
        <f t="shared" si="246"/>
        <v>2023.8</v>
      </c>
      <c r="AC255">
        <f>ROUND(((ES255*4)),6)</f>
        <v>0</v>
      </c>
      <c r="AD255">
        <f>ROUND(((((ET255*4))-((EU255*4)))+AE255),6)</f>
        <v>0</v>
      </c>
      <c r="AE255">
        <f t="shared" si="270"/>
        <v>0</v>
      </c>
      <c r="AF255">
        <f t="shared" si="270"/>
        <v>2023.8</v>
      </c>
      <c r="AG255">
        <f t="shared" si="247"/>
        <v>0</v>
      </c>
      <c r="AH255">
        <f t="shared" si="271"/>
        <v>3.6</v>
      </c>
      <c r="AI255">
        <f t="shared" si="271"/>
        <v>0</v>
      </c>
      <c r="AJ255">
        <f t="shared" si="248"/>
        <v>0</v>
      </c>
      <c r="AK255">
        <v>505.95</v>
      </c>
      <c r="AL255">
        <v>0</v>
      </c>
      <c r="AM255">
        <v>0</v>
      </c>
      <c r="AN255">
        <v>0</v>
      </c>
      <c r="AO255">
        <v>505.95</v>
      </c>
      <c r="AP255">
        <v>0</v>
      </c>
      <c r="AQ255">
        <v>0.9</v>
      </c>
      <c r="AR255">
        <v>0</v>
      </c>
      <c r="AS255">
        <v>0</v>
      </c>
      <c r="AT255">
        <v>70</v>
      </c>
      <c r="AU255">
        <v>10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24</v>
      </c>
      <c r="BM255">
        <v>0</v>
      </c>
      <c r="BN255">
        <v>0</v>
      </c>
      <c r="BO255" t="s">
        <v>3</v>
      </c>
      <c r="BP255">
        <v>0</v>
      </c>
      <c r="BQ255">
        <v>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70</v>
      </c>
      <c r="CA255">
        <v>10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49"/>
        <v>338.48</v>
      </c>
      <c r="CQ255">
        <f t="shared" si="250"/>
        <v>0</v>
      </c>
      <c r="CR255">
        <f>(((((ET255*4))*BB255-((EU255*4))*BS255)+AE255*BS255)*AV255)</f>
        <v>0</v>
      </c>
      <c r="CS255">
        <f t="shared" si="251"/>
        <v>0</v>
      </c>
      <c r="CT255">
        <f t="shared" si="252"/>
        <v>2023.8</v>
      </c>
      <c r="CU255">
        <f t="shared" si="253"/>
        <v>0</v>
      </c>
      <c r="CV255">
        <f t="shared" si="254"/>
        <v>3.6</v>
      </c>
      <c r="CW255">
        <f t="shared" si="255"/>
        <v>0</v>
      </c>
      <c r="CX255">
        <f t="shared" si="256"/>
        <v>0</v>
      </c>
      <c r="CY255">
        <f t="shared" si="257"/>
        <v>236.93600000000004</v>
      </c>
      <c r="CZ255">
        <f t="shared" si="258"/>
        <v>33.847999999999999</v>
      </c>
      <c r="DC255" t="s">
        <v>3</v>
      </c>
      <c r="DD255" t="s">
        <v>25</v>
      </c>
      <c r="DE255" t="s">
        <v>25</v>
      </c>
      <c r="DF255" t="s">
        <v>25</v>
      </c>
      <c r="DG255" t="s">
        <v>25</v>
      </c>
      <c r="DH255" t="s">
        <v>3</v>
      </c>
      <c r="DI255" t="s">
        <v>25</v>
      </c>
      <c r="DJ255" t="s">
        <v>25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1003</v>
      </c>
      <c r="DV255" t="s">
        <v>17</v>
      </c>
      <c r="DW255" t="s">
        <v>17</v>
      </c>
      <c r="DX255">
        <v>100</v>
      </c>
      <c r="DZ255" t="s">
        <v>3</v>
      </c>
      <c r="EA255" t="s">
        <v>3</v>
      </c>
      <c r="EB255" t="s">
        <v>3</v>
      </c>
      <c r="EC255" t="s">
        <v>3</v>
      </c>
      <c r="EE255">
        <v>1441815344</v>
      </c>
      <c r="EF255">
        <v>1</v>
      </c>
      <c r="EG255" t="s">
        <v>19</v>
      </c>
      <c r="EH255">
        <v>0</v>
      </c>
      <c r="EI255" t="s">
        <v>3</v>
      </c>
      <c r="EJ255">
        <v>4</v>
      </c>
      <c r="EK255">
        <v>0</v>
      </c>
      <c r="EL255" t="s">
        <v>20</v>
      </c>
      <c r="EM255" t="s">
        <v>21</v>
      </c>
      <c r="EO255" t="s">
        <v>3</v>
      </c>
      <c r="EQ255">
        <v>1024</v>
      </c>
      <c r="ER255">
        <v>505.95</v>
      </c>
      <c r="ES255">
        <v>0</v>
      </c>
      <c r="ET255">
        <v>0</v>
      </c>
      <c r="EU255">
        <v>0</v>
      </c>
      <c r="EV255">
        <v>505.95</v>
      </c>
      <c r="EW255">
        <v>0.9</v>
      </c>
      <c r="EX255">
        <v>0</v>
      </c>
      <c r="EY255">
        <v>0</v>
      </c>
      <c r="FQ255">
        <v>0</v>
      </c>
      <c r="FR255">
        <f t="shared" si="259"/>
        <v>0</v>
      </c>
      <c r="FS255">
        <v>0</v>
      </c>
      <c r="FX255">
        <v>70</v>
      </c>
      <c r="FY255">
        <v>10</v>
      </c>
      <c r="GA255" t="s">
        <v>3</v>
      </c>
      <c r="GD255">
        <v>0</v>
      </c>
      <c r="GF255">
        <v>-341239612</v>
      </c>
      <c r="GG255">
        <v>2</v>
      </c>
      <c r="GH255">
        <v>1</v>
      </c>
      <c r="GI255">
        <v>-2</v>
      </c>
      <c r="GJ255">
        <v>0</v>
      </c>
      <c r="GK255">
        <f>ROUND(R255*(R12)/100,2)</f>
        <v>0</v>
      </c>
      <c r="GL255">
        <f t="shared" si="260"/>
        <v>0</v>
      </c>
      <c r="GM255">
        <f t="shared" si="261"/>
        <v>609.27</v>
      </c>
      <c r="GN255">
        <f t="shared" si="262"/>
        <v>0</v>
      </c>
      <c r="GO255">
        <f t="shared" si="263"/>
        <v>0</v>
      </c>
      <c r="GP255">
        <f t="shared" si="264"/>
        <v>609.27</v>
      </c>
      <c r="GR255">
        <v>0</v>
      </c>
      <c r="GS255">
        <v>3</v>
      </c>
      <c r="GT255">
        <v>0</v>
      </c>
      <c r="GU255" t="s">
        <v>3</v>
      </c>
      <c r="GV255">
        <f t="shared" si="265"/>
        <v>0</v>
      </c>
      <c r="GW255">
        <v>1</v>
      </c>
      <c r="GX255">
        <f t="shared" si="266"/>
        <v>0</v>
      </c>
      <c r="HA255">
        <v>0</v>
      </c>
      <c r="HB255">
        <v>0</v>
      </c>
      <c r="HC255">
        <f t="shared" si="267"/>
        <v>0</v>
      </c>
      <c r="HE255" t="s">
        <v>3</v>
      </c>
      <c r="HF255" t="s">
        <v>3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6" spans="1:245" x14ac:dyDescent="0.2">
      <c r="A256">
        <v>17</v>
      </c>
      <c r="B256">
        <v>1</v>
      </c>
      <c r="D256">
        <f>ROW(EtalonRes!A225)</f>
        <v>225</v>
      </c>
      <c r="E256" t="s">
        <v>3</v>
      </c>
      <c r="F256" t="s">
        <v>26</v>
      </c>
      <c r="G256" t="s">
        <v>27</v>
      </c>
      <c r="H256" t="s">
        <v>17</v>
      </c>
      <c r="I256">
        <f>ROUND((135+270+120+144)*0.75*0.1/100,9)</f>
        <v>0.50175000000000003</v>
      </c>
      <c r="J256">
        <v>0</v>
      </c>
      <c r="K256">
        <f>ROUND((135+270+120+144)*0.75*0.1/100,9)</f>
        <v>0.50175000000000003</v>
      </c>
      <c r="O256">
        <f t="shared" si="235"/>
        <v>2978.65</v>
      </c>
      <c r="P256">
        <f t="shared" si="236"/>
        <v>0</v>
      </c>
      <c r="Q256">
        <f t="shared" si="237"/>
        <v>0</v>
      </c>
      <c r="R256">
        <f t="shared" si="238"/>
        <v>0</v>
      </c>
      <c r="S256">
        <f t="shared" si="239"/>
        <v>2978.65</v>
      </c>
      <c r="T256">
        <f t="shared" si="240"/>
        <v>0</v>
      </c>
      <c r="U256">
        <f t="shared" si="241"/>
        <v>5.2984800000000005</v>
      </c>
      <c r="V256">
        <f t="shared" si="242"/>
        <v>0</v>
      </c>
      <c r="W256">
        <f t="shared" si="243"/>
        <v>0</v>
      </c>
      <c r="X256">
        <f t="shared" si="244"/>
        <v>2085.06</v>
      </c>
      <c r="Y256">
        <f t="shared" si="245"/>
        <v>297.87</v>
      </c>
      <c r="AA256">
        <v>-1</v>
      </c>
      <c r="AB256">
        <f t="shared" si="246"/>
        <v>5936.52</v>
      </c>
      <c r="AC256">
        <f>ROUND(((ES256*4)),6)</f>
        <v>0</v>
      </c>
      <c r="AD256">
        <f>ROUND(((((ET256*4))-((EU256*4)))+AE256),6)</f>
        <v>0</v>
      </c>
      <c r="AE256">
        <f t="shared" si="270"/>
        <v>0</v>
      </c>
      <c r="AF256">
        <f t="shared" si="270"/>
        <v>5936.52</v>
      </c>
      <c r="AG256">
        <f t="shared" si="247"/>
        <v>0</v>
      </c>
      <c r="AH256">
        <f t="shared" si="271"/>
        <v>10.56</v>
      </c>
      <c r="AI256">
        <f t="shared" si="271"/>
        <v>0</v>
      </c>
      <c r="AJ256">
        <f t="shared" si="248"/>
        <v>0</v>
      </c>
      <c r="AK256">
        <v>1484.13</v>
      </c>
      <c r="AL256">
        <v>0</v>
      </c>
      <c r="AM256">
        <v>0</v>
      </c>
      <c r="AN256">
        <v>0</v>
      </c>
      <c r="AO256">
        <v>1484.13</v>
      </c>
      <c r="AP256">
        <v>0</v>
      </c>
      <c r="AQ256">
        <v>2.64</v>
      </c>
      <c r="AR256">
        <v>0</v>
      </c>
      <c r="AS256">
        <v>0</v>
      </c>
      <c r="AT256">
        <v>70</v>
      </c>
      <c r="AU256">
        <v>10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28</v>
      </c>
      <c r="BM256">
        <v>0</v>
      </c>
      <c r="BN256">
        <v>0</v>
      </c>
      <c r="BO256" t="s">
        <v>3</v>
      </c>
      <c r="BP256">
        <v>0</v>
      </c>
      <c r="BQ256">
        <v>1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70</v>
      </c>
      <c r="CA256">
        <v>10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49"/>
        <v>2978.65</v>
      </c>
      <c r="CQ256">
        <f t="shared" si="250"/>
        <v>0</v>
      </c>
      <c r="CR256">
        <f>(((((ET256*4))*BB256-((EU256*4))*BS256)+AE256*BS256)*AV256)</f>
        <v>0</v>
      </c>
      <c r="CS256">
        <f t="shared" si="251"/>
        <v>0</v>
      </c>
      <c r="CT256">
        <f t="shared" si="252"/>
        <v>5936.52</v>
      </c>
      <c r="CU256">
        <f t="shared" si="253"/>
        <v>0</v>
      </c>
      <c r="CV256">
        <f t="shared" si="254"/>
        <v>10.56</v>
      </c>
      <c r="CW256">
        <f t="shared" si="255"/>
        <v>0</v>
      </c>
      <c r="CX256">
        <f t="shared" si="256"/>
        <v>0</v>
      </c>
      <c r="CY256">
        <f t="shared" si="257"/>
        <v>2085.0549999999998</v>
      </c>
      <c r="CZ256">
        <f t="shared" si="258"/>
        <v>297.86500000000001</v>
      </c>
      <c r="DC256" t="s">
        <v>3</v>
      </c>
      <c r="DD256" t="s">
        <v>25</v>
      </c>
      <c r="DE256" t="s">
        <v>25</v>
      </c>
      <c r="DF256" t="s">
        <v>25</v>
      </c>
      <c r="DG256" t="s">
        <v>25</v>
      </c>
      <c r="DH256" t="s">
        <v>3</v>
      </c>
      <c r="DI256" t="s">
        <v>25</v>
      </c>
      <c r="DJ256" t="s">
        <v>25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1003</v>
      </c>
      <c r="DV256" t="s">
        <v>17</v>
      </c>
      <c r="DW256" t="s">
        <v>17</v>
      </c>
      <c r="DX256">
        <v>100</v>
      </c>
      <c r="DZ256" t="s">
        <v>3</v>
      </c>
      <c r="EA256" t="s">
        <v>3</v>
      </c>
      <c r="EB256" t="s">
        <v>3</v>
      </c>
      <c r="EC256" t="s">
        <v>3</v>
      </c>
      <c r="EE256">
        <v>1441815344</v>
      </c>
      <c r="EF256">
        <v>1</v>
      </c>
      <c r="EG256" t="s">
        <v>19</v>
      </c>
      <c r="EH256">
        <v>0</v>
      </c>
      <c r="EI256" t="s">
        <v>3</v>
      </c>
      <c r="EJ256">
        <v>4</v>
      </c>
      <c r="EK256">
        <v>0</v>
      </c>
      <c r="EL256" t="s">
        <v>20</v>
      </c>
      <c r="EM256" t="s">
        <v>21</v>
      </c>
      <c r="EO256" t="s">
        <v>3</v>
      </c>
      <c r="EQ256">
        <v>1024</v>
      </c>
      <c r="ER256">
        <v>1484.13</v>
      </c>
      <c r="ES256">
        <v>0</v>
      </c>
      <c r="ET256">
        <v>0</v>
      </c>
      <c r="EU256">
        <v>0</v>
      </c>
      <c r="EV256">
        <v>1484.13</v>
      </c>
      <c r="EW256">
        <v>2.64</v>
      </c>
      <c r="EX256">
        <v>0</v>
      </c>
      <c r="EY256">
        <v>0</v>
      </c>
      <c r="FQ256">
        <v>0</v>
      </c>
      <c r="FR256">
        <f t="shared" si="259"/>
        <v>0</v>
      </c>
      <c r="FS256">
        <v>0</v>
      </c>
      <c r="FX256">
        <v>70</v>
      </c>
      <c r="FY256">
        <v>10</v>
      </c>
      <c r="GA256" t="s">
        <v>3</v>
      </c>
      <c r="GD256">
        <v>0</v>
      </c>
      <c r="GF256">
        <v>1802126441</v>
      </c>
      <c r="GG256">
        <v>2</v>
      </c>
      <c r="GH256">
        <v>1</v>
      </c>
      <c r="GI256">
        <v>-2</v>
      </c>
      <c r="GJ256">
        <v>0</v>
      </c>
      <c r="GK256">
        <f>ROUND(R256*(R12)/100,2)</f>
        <v>0</v>
      </c>
      <c r="GL256">
        <f t="shared" si="260"/>
        <v>0</v>
      </c>
      <c r="GM256">
        <f t="shared" si="261"/>
        <v>5361.58</v>
      </c>
      <c r="GN256">
        <f t="shared" si="262"/>
        <v>0</v>
      </c>
      <c r="GO256">
        <f t="shared" si="263"/>
        <v>0</v>
      </c>
      <c r="GP256">
        <f t="shared" si="264"/>
        <v>5361.58</v>
      </c>
      <c r="GR256">
        <v>0</v>
      </c>
      <c r="GS256">
        <v>3</v>
      </c>
      <c r="GT256">
        <v>0</v>
      </c>
      <c r="GU256" t="s">
        <v>3</v>
      </c>
      <c r="GV256">
        <f t="shared" si="265"/>
        <v>0</v>
      </c>
      <c r="GW256">
        <v>1</v>
      </c>
      <c r="GX256">
        <f t="shared" si="266"/>
        <v>0</v>
      </c>
      <c r="HA256">
        <v>0</v>
      </c>
      <c r="HB256">
        <v>0</v>
      </c>
      <c r="HC256">
        <f t="shared" si="267"/>
        <v>0</v>
      </c>
      <c r="HE256" t="s">
        <v>3</v>
      </c>
      <c r="HF256" t="s">
        <v>3</v>
      </c>
      <c r="HM256" t="s">
        <v>3</v>
      </c>
      <c r="HN256" t="s">
        <v>3</v>
      </c>
      <c r="HO256" t="s">
        <v>3</v>
      </c>
      <c r="HP256" t="s">
        <v>3</v>
      </c>
      <c r="HQ256" t="s">
        <v>3</v>
      </c>
      <c r="IK256">
        <v>0</v>
      </c>
    </row>
    <row r="257" spans="1:245" x14ac:dyDescent="0.2">
      <c r="A257">
        <v>17</v>
      </c>
      <c r="B257">
        <v>1</v>
      </c>
      <c r="D257">
        <f>ROW(EtalonRes!A231)</f>
        <v>231</v>
      </c>
      <c r="E257" t="s">
        <v>3</v>
      </c>
      <c r="F257" t="s">
        <v>310</v>
      </c>
      <c r="G257" t="s">
        <v>311</v>
      </c>
      <c r="H257" t="s">
        <v>17</v>
      </c>
      <c r="I257">
        <f>ROUND((135)/100,9)</f>
        <v>1.35</v>
      </c>
      <c r="J257">
        <v>0</v>
      </c>
      <c r="K257">
        <f>ROUND((135)/100,9)</f>
        <v>1.35</v>
      </c>
      <c r="O257">
        <f t="shared" si="235"/>
        <v>10700.98</v>
      </c>
      <c r="P257">
        <f t="shared" si="236"/>
        <v>94.81</v>
      </c>
      <c r="Q257">
        <f t="shared" si="237"/>
        <v>68.45</v>
      </c>
      <c r="R257">
        <f t="shared" si="238"/>
        <v>1.0900000000000001</v>
      </c>
      <c r="S257">
        <f t="shared" si="239"/>
        <v>10537.72</v>
      </c>
      <c r="T257">
        <f t="shared" si="240"/>
        <v>0</v>
      </c>
      <c r="U257">
        <f t="shared" si="241"/>
        <v>14.364000000000003</v>
      </c>
      <c r="V257">
        <f t="shared" si="242"/>
        <v>0</v>
      </c>
      <c r="W257">
        <f t="shared" si="243"/>
        <v>0</v>
      </c>
      <c r="X257">
        <f t="shared" si="244"/>
        <v>7376.4</v>
      </c>
      <c r="Y257">
        <f t="shared" si="245"/>
        <v>1053.77</v>
      </c>
      <c r="AA257">
        <v>-1</v>
      </c>
      <c r="AB257">
        <f t="shared" si="246"/>
        <v>7926.65</v>
      </c>
      <c r="AC257">
        <f>ROUND((ES257),6)</f>
        <v>70.23</v>
      </c>
      <c r="AD257">
        <f>ROUND((((ET257)-(EU257))+AE257),6)</f>
        <v>50.7</v>
      </c>
      <c r="AE257">
        <f t="shared" ref="AE257:AF260" si="272">ROUND((EU257),6)</f>
        <v>0.81</v>
      </c>
      <c r="AF257">
        <f t="shared" si="272"/>
        <v>7805.72</v>
      </c>
      <c r="AG257">
        <f t="shared" si="247"/>
        <v>0</v>
      </c>
      <c r="AH257">
        <f t="shared" ref="AH257:AI260" si="273">(EW257)</f>
        <v>10.64</v>
      </c>
      <c r="AI257">
        <f t="shared" si="273"/>
        <v>0</v>
      </c>
      <c r="AJ257">
        <f t="shared" si="248"/>
        <v>0</v>
      </c>
      <c r="AK257">
        <v>7926.65</v>
      </c>
      <c r="AL257">
        <v>70.23</v>
      </c>
      <c r="AM257">
        <v>50.7</v>
      </c>
      <c r="AN257">
        <v>0.81</v>
      </c>
      <c r="AO257">
        <v>7805.72</v>
      </c>
      <c r="AP257">
        <v>0</v>
      </c>
      <c r="AQ257">
        <v>10.64</v>
      </c>
      <c r="AR257">
        <v>0</v>
      </c>
      <c r="AS257">
        <v>0</v>
      </c>
      <c r="AT257">
        <v>70</v>
      </c>
      <c r="AU257">
        <v>10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312</v>
      </c>
      <c r="BM257">
        <v>0</v>
      </c>
      <c r="BN257">
        <v>0</v>
      </c>
      <c r="BO257" t="s">
        <v>3</v>
      </c>
      <c r="BP257">
        <v>0</v>
      </c>
      <c r="BQ257">
        <v>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70</v>
      </c>
      <c r="CA257">
        <v>10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49"/>
        <v>10700.98</v>
      </c>
      <c r="CQ257">
        <f t="shared" si="250"/>
        <v>70.23</v>
      </c>
      <c r="CR257">
        <f>((((ET257)*BB257-(EU257)*BS257)+AE257*BS257)*AV257)</f>
        <v>50.7</v>
      </c>
      <c r="CS257">
        <f t="shared" si="251"/>
        <v>0.81</v>
      </c>
      <c r="CT257">
        <f t="shared" si="252"/>
        <v>7805.72</v>
      </c>
      <c r="CU257">
        <f t="shared" si="253"/>
        <v>0</v>
      </c>
      <c r="CV257">
        <f t="shared" si="254"/>
        <v>10.64</v>
      </c>
      <c r="CW257">
        <f t="shared" si="255"/>
        <v>0</v>
      </c>
      <c r="CX257">
        <f t="shared" si="256"/>
        <v>0</v>
      </c>
      <c r="CY257">
        <f t="shared" si="257"/>
        <v>7376.4039999999986</v>
      </c>
      <c r="CZ257">
        <f t="shared" si="258"/>
        <v>1053.7719999999999</v>
      </c>
      <c r="DC257" t="s">
        <v>3</v>
      </c>
      <c r="DD257" t="s">
        <v>3</v>
      </c>
      <c r="DE257" t="s">
        <v>3</v>
      </c>
      <c r="DF257" t="s">
        <v>3</v>
      </c>
      <c r="DG257" t="s">
        <v>3</v>
      </c>
      <c r="DH257" t="s">
        <v>3</v>
      </c>
      <c r="DI257" t="s">
        <v>3</v>
      </c>
      <c r="DJ257" t="s">
        <v>3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1003</v>
      </c>
      <c r="DV257" t="s">
        <v>17</v>
      </c>
      <c r="DW257" t="s">
        <v>17</v>
      </c>
      <c r="DX257">
        <v>100</v>
      </c>
      <c r="DZ257" t="s">
        <v>3</v>
      </c>
      <c r="EA257" t="s">
        <v>3</v>
      </c>
      <c r="EB257" t="s">
        <v>3</v>
      </c>
      <c r="EC257" t="s">
        <v>3</v>
      </c>
      <c r="EE257">
        <v>1441815344</v>
      </c>
      <c r="EF257">
        <v>1</v>
      </c>
      <c r="EG257" t="s">
        <v>19</v>
      </c>
      <c r="EH257">
        <v>0</v>
      </c>
      <c r="EI257" t="s">
        <v>3</v>
      </c>
      <c r="EJ257">
        <v>4</v>
      </c>
      <c r="EK257">
        <v>0</v>
      </c>
      <c r="EL257" t="s">
        <v>20</v>
      </c>
      <c r="EM257" t="s">
        <v>21</v>
      </c>
      <c r="EO257" t="s">
        <v>3</v>
      </c>
      <c r="EQ257">
        <v>1024</v>
      </c>
      <c r="ER257">
        <v>7926.65</v>
      </c>
      <c r="ES257">
        <v>70.23</v>
      </c>
      <c r="ET257">
        <v>50.7</v>
      </c>
      <c r="EU257">
        <v>0.81</v>
      </c>
      <c r="EV257">
        <v>7805.72</v>
      </c>
      <c r="EW257">
        <v>10.64</v>
      </c>
      <c r="EX257">
        <v>0</v>
      </c>
      <c r="EY257">
        <v>0</v>
      </c>
      <c r="FQ257">
        <v>0</v>
      </c>
      <c r="FR257">
        <f t="shared" si="259"/>
        <v>0</v>
      </c>
      <c r="FS257">
        <v>0</v>
      </c>
      <c r="FX257">
        <v>70</v>
      </c>
      <c r="FY257">
        <v>10</v>
      </c>
      <c r="GA257" t="s">
        <v>3</v>
      </c>
      <c r="GD257">
        <v>0</v>
      </c>
      <c r="GF257">
        <v>1087258960</v>
      </c>
      <c r="GG257">
        <v>2</v>
      </c>
      <c r="GH257">
        <v>1</v>
      </c>
      <c r="GI257">
        <v>-2</v>
      </c>
      <c r="GJ257">
        <v>0</v>
      </c>
      <c r="GK257">
        <f>ROUND(R257*(R12)/100,2)</f>
        <v>1.18</v>
      </c>
      <c r="GL257">
        <f t="shared" si="260"/>
        <v>0</v>
      </c>
      <c r="GM257">
        <f t="shared" si="261"/>
        <v>19132.330000000002</v>
      </c>
      <c r="GN257">
        <f t="shared" si="262"/>
        <v>0</v>
      </c>
      <c r="GO257">
        <f t="shared" si="263"/>
        <v>0</v>
      </c>
      <c r="GP257">
        <f t="shared" si="264"/>
        <v>19132.330000000002</v>
      </c>
      <c r="GR257">
        <v>0</v>
      </c>
      <c r="GS257">
        <v>3</v>
      </c>
      <c r="GT257">
        <v>0</v>
      </c>
      <c r="GU257" t="s">
        <v>3</v>
      </c>
      <c r="GV257">
        <f t="shared" si="265"/>
        <v>0</v>
      </c>
      <c r="GW257">
        <v>1</v>
      </c>
      <c r="GX257">
        <f t="shared" si="266"/>
        <v>0</v>
      </c>
      <c r="HA257">
        <v>0</v>
      </c>
      <c r="HB257">
        <v>0</v>
      </c>
      <c r="HC257">
        <f t="shared" si="267"/>
        <v>0</v>
      </c>
      <c r="HE257" t="s">
        <v>3</v>
      </c>
      <c r="HF257" t="s">
        <v>3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45" x14ac:dyDescent="0.2">
      <c r="A258">
        <v>17</v>
      </c>
      <c r="B258">
        <v>1</v>
      </c>
      <c r="D258">
        <f>ROW(EtalonRes!A234)</f>
        <v>234</v>
      </c>
      <c r="E258" t="s">
        <v>3</v>
      </c>
      <c r="F258" t="s">
        <v>313</v>
      </c>
      <c r="G258" t="s">
        <v>314</v>
      </c>
      <c r="H258" t="s">
        <v>17</v>
      </c>
      <c r="I258">
        <f>ROUND((135)/100,9)</f>
        <v>1.35</v>
      </c>
      <c r="J258">
        <v>0</v>
      </c>
      <c r="K258">
        <f>ROUND((135)/100,9)</f>
        <v>1.35</v>
      </c>
      <c r="O258">
        <f t="shared" si="235"/>
        <v>2258.89</v>
      </c>
      <c r="P258">
        <f t="shared" si="236"/>
        <v>76.209999999999994</v>
      </c>
      <c r="Q258">
        <f t="shared" si="237"/>
        <v>14.78</v>
      </c>
      <c r="R258">
        <f t="shared" si="238"/>
        <v>0.04</v>
      </c>
      <c r="S258">
        <f t="shared" si="239"/>
        <v>2167.9</v>
      </c>
      <c r="T258">
        <f t="shared" si="240"/>
        <v>0</v>
      </c>
      <c r="U258">
        <f t="shared" si="241"/>
        <v>3.2669999999999999</v>
      </c>
      <c r="V258">
        <f t="shared" si="242"/>
        <v>0</v>
      </c>
      <c r="W258">
        <f t="shared" si="243"/>
        <v>0</v>
      </c>
      <c r="X258">
        <f t="shared" si="244"/>
        <v>1517.53</v>
      </c>
      <c r="Y258">
        <f t="shared" si="245"/>
        <v>216.79</v>
      </c>
      <c r="AA258">
        <v>-1</v>
      </c>
      <c r="AB258">
        <f t="shared" si="246"/>
        <v>1673.25</v>
      </c>
      <c r="AC258">
        <f>ROUND((ES258),6)</f>
        <v>56.45</v>
      </c>
      <c r="AD258">
        <f>ROUND((((ET258)-(EU258))+AE258),6)</f>
        <v>10.95</v>
      </c>
      <c r="AE258">
        <f t="shared" si="272"/>
        <v>0.03</v>
      </c>
      <c r="AF258">
        <f t="shared" si="272"/>
        <v>1605.85</v>
      </c>
      <c r="AG258">
        <f t="shared" si="247"/>
        <v>0</v>
      </c>
      <c r="AH258">
        <f t="shared" si="273"/>
        <v>2.42</v>
      </c>
      <c r="AI258">
        <f t="shared" si="273"/>
        <v>0</v>
      </c>
      <c r="AJ258">
        <f t="shared" si="248"/>
        <v>0</v>
      </c>
      <c r="AK258">
        <v>1673.25</v>
      </c>
      <c r="AL258">
        <v>56.45</v>
      </c>
      <c r="AM258">
        <v>10.95</v>
      </c>
      <c r="AN258">
        <v>0.03</v>
      </c>
      <c r="AO258">
        <v>1605.85</v>
      </c>
      <c r="AP258">
        <v>0</v>
      </c>
      <c r="AQ258">
        <v>2.42</v>
      </c>
      <c r="AR258">
        <v>0</v>
      </c>
      <c r="AS258">
        <v>0</v>
      </c>
      <c r="AT258">
        <v>70</v>
      </c>
      <c r="AU258">
        <v>10</v>
      </c>
      <c r="AV258">
        <v>1</v>
      </c>
      <c r="AW258">
        <v>1</v>
      </c>
      <c r="AZ258">
        <v>1</v>
      </c>
      <c r="BA258">
        <v>1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315</v>
      </c>
      <c r="BM258">
        <v>0</v>
      </c>
      <c r="BN258">
        <v>0</v>
      </c>
      <c r="BO258" t="s">
        <v>3</v>
      </c>
      <c r="BP258">
        <v>0</v>
      </c>
      <c r="BQ258">
        <v>1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70</v>
      </c>
      <c r="CA258">
        <v>10</v>
      </c>
      <c r="CB258" t="s">
        <v>3</v>
      </c>
      <c r="CE258">
        <v>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49"/>
        <v>2258.89</v>
      </c>
      <c r="CQ258">
        <f t="shared" si="250"/>
        <v>56.45</v>
      </c>
      <c r="CR258">
        <f>((((ET258)*BB258-(EU258)*BS258)+AE258*BS258)*AV258)</f>
        <v>10.95</v>
      </c>
      <c r="CS258">
        <f t="shared" si="251"/>
        <v>0.03</v>
      </c>
      <c r="CT258">
        <f t="shared" si="252"/>
        <v>1605.85</v>
      </c>
      <c r="CU258">
        <f t="shared" si="253"/>
        <v>0</v>
      </c>
      <c r="CV258">
        <f t="shared" si="254"/>
        <v>2.42</v>
      </c>
      <c r="CW258">
        <f t="shared" si="255"/>
        <v>0</v>
      </c>
      <c r="CX258">
        <f t="shared" si="256"/>
        <v>0</v>
      </c>
      <c r="CY258">
        <f t="shared" si="257"/>
        <v>1517.53</v>
      </c>
      <c r="CZ258">
        <f t="shared" si="258"/>
        <v>216.79</v>
      </c>
      <c r="DC258" t="s">
        <v>3</v>
      </c>
      <c r="DD258" t="s">
        <v>3</v>
      </c>
      <c r="DE258" t="s">
        <v>3</v>
      </c>
      <c r="DF258" t="s">
        <v>3</v>
      </c>
      <c r="DG258" t="s">
        <v>3</v>
      </c>
      <c r="DH258" t="s">
        <v>3</v>
      </c>
      <c r="DI258" t="s">
        <v>3</v>
      </c>
      <c r="DJ258" t="s">
        <v>3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1003</v>
      </c>
      <c r="DV258" t="s">
        <v>17</v>
      </c>
      <c r="DW258" t="s">
        <v>17</v>
      </c>
      <c r="DX258">
        <v>100</v>
      </c>
      <c r="DZ258" t="s">
        <v>3</v>
      </c>
      <c r="EA258" t="s">
        <v>3</v>
      </c>
      <c r="EB258" t="s">
        <v>3</v>
      </c>
      <c r="EC258" t="s">
        <v>3</v>
      </c>
      <c r="EE258">
        <v>1441815344</v>
      </c>
      <c r="EF258">
        <v>1</v>
      </c>
      <c r="EG258" t="s">
        <v>19</v>
      </c>
      <c r="EH258">
        <v>0</v>
      </c>
      <c r="EI258" t="s">
        <v>3</v>
      </c>
      <c r="EJ258">
        <v>4</v>
      </c>
      <c r="EK258">
        <v>0</v>
      </c>
      <c r="EL258" t="s">
        <v>20</v>
      </c>
      <c r="EM258" t="s">
        <v>21</v>
      </c>
      <c r="EO258" t="s">
        <v>3</v>
      </c>
      <c r="EQ258">
        <v>1024</v>
      </c>
      <c r="ER258">
        <v>1673.25</v>
      </c>
      <c r="ES258">
        <v>56.45</v>
      </c>
      <c r="ET258">
        <v>10.95</v>
      </c>
      <c r="EU258">
        <v>0.03</v>
      </c>
      <c r="EV258">
        <v>1605.85</v>
      </c>
      <c r="EW258">
        <v>2.42</v>
      </c>
      <c r="EX258">
        <v>0</v>
      </c>
      <c r="EY258">
        <v>0</v>
      </c>
      <c r="FQ258">
        <v>0</v>
      </c>
      <c r="FR258">
        <f t="shared" si="259"/>
        <v>0</v>
      </c>
      <c r="FS258">
        <v>0</v>
      </c>
      <c r="FX258">
        <v>70</v>
      </c>
      <c r="FY258">
        <v>10</v>
      </c>
      <c r="GA258" t="s">
        <v>3</v>
      </c>
      <c r="GD258">
        <v>0</v>
      </c>
      <c r="GF258">
        <v>1032671561</v>
      </c>
      <c r="GG258">
        <v>2</v>
      </c>
      <c r="GH258">
        <v>1</v>
      </c>
      <c r="GI258">
        <v>-2</v>
      </c>
      <c r="GJ258">
        <v>0</v>
      </c>
      <c r="GK258">
        <f>ROUND(R258*(R12)/100,2)</f>
        <v>0.04</v>
      </c>
      <c r="GL258">
        <f t="shared" si="260"/>
        <v>0</v>
      </c>
      <c r="GM258">
        <f t="shared" si="261"/>
        <v>3993.25</v>
      </c>
      <c r="GN258">
        <f t="shared" si="262"/>
        <v>0</v>
      </c>
      <c r="GO258">
        <f t="shared" si="263"/>
        <v>0</v>
      </c>
      <c r="GP258">
        <f t="shared" si="264"/>
        <v>3993.25</v>
      </c>
      <c r="GR258">
        <v>0</v>
      </c>
      <c r="GS258">
        <v>3</v>
      </c>
      <c r="GT258">
        <v>0</v>
      </c>
      <c r="GU258" t="s">
        <v>3</v>
      </c>
      <c r="GV258">
        <f t="shared" si="265"/>
        <v>0</v>
      </c>
      <c r="GW258">
        <v>1</v>
      </c>
      <c r="GX258">
        <f t="shared" si="266"/>
        <v>0</v>
      </c>
      <c r="HA258">
        <v>0</v>
      </c>
      <c r="HB258">
        <v>0</v>
      </c>
      <c r="HC258">
        <f t="shared" si="267"/>
        <v>0</v>
      </c>
      <c r="HE258" t="s">
        <v>3</v>
      </c>
      <c r="HF258" t="s">
        <v>3</v>
      </c>
      <c r="HM258" t="s">
        <v>3</v>
      </c>
      <c r="HN258" t="s">
        <v>3</v>
      </c>
      <c r="HO258" t="s">
        <v>3</v>
      </c>
      <c r="HP258" t="s">
        <v>3</v>
      </c>
      <c r="HQ258" t="s">
        <v>3</v>
      </c>
      <c r="IK258">
        <v>0</v>
      </c>
    </row>
    <row r="259" spans="1:245" x14ac:dyDescent="0.2">
      <c r="A259">
        <v>17</v>
      </c>
      <c r="B259">
        <v>1</v>
      </c>
      <c r="D259">
        <f>ROW(EtalonRes!A240)</f>
        <v>240</v>
      </c>
      <c r="E259" t="s">
        <v>3</v>
      </c>
      <c r="F259" t="s">
        <v>233</v>
      </c>
      <c r="G259" t="s">
        <v>234</v>
      </c>
      <c r="H259" t="s">
        <v>17</v>
      </c>
      <c r="I259">
        <f>ROUND((270+120+144)/100,9)</f>
        <v>5.34</v>
      </c>
      <c r="J259">
        <v>0</v>
      </c>
      <c r="K259">
        <f>ROUND((270+120+144)/100,9)</f>
        <v>5.34</v>
      </c>
      <c r="O259">
        <f t="shared" si="235"/>
        <v>43147.78</v>
      </c>
      <c r="P259">
        <f t="shared" si="236"/>
        <v>1194.5</v>
      </c>
      <c r="Q259">
        <f t="shared" si="237"/>
        <v>270.74</v>
      </c>
      <c r="R259">
        <f t="shared" si="238"/>
        <v>4.33</v>
      </c>
      <c r="S259">
        <f t="shared" si="239"/>
        <v>41682.54</v>
      </c>
      <c r="T259">
        <f t="shared" si="240"/>
        <v>0</v>
      </c>
      <c r="U259">
        <f t="shared" si="241"/>
        <v>56.817599999999999</v>
      </c>
      <c r="V259">
        <f t="shared" si="242"/>
        <v>0</v>
      </c>
      <c r="W259">
        <f t="shared" si="243"/>
        <v>0</v>
      </c>
      <c r="X259">
        <f t="shared" si="244"/>
        <v>29177.78</v>
      </c>
      <c r="Y259">
        <f t="shared" si="245"/>
        <v>4168.25</v>
      </c>
      <c r="AA259">
        <v>-1</v>
      </c>
      <c r="AB259">
        <f t="shared" si="246"/>
        <v>8080.11</v>
      </c>
      <c r="AC259">
        <f>ROUND((ES259),6)</f>
        <v>223.69</v>
      </c>
      <c r="AD259">
        <f>ROUND((((ET259)-(EU259))+AE259),6)</f>
        <v>50.7</v>
      </c>
      <c r="AE259">
        <f t="shared" si="272"/>
        <v>0.81</v>
      </c>
      <c r="AF259">
        <f t="shared" si="272"/>
        <v>7805.72</v>
      </c>
      <c r="AG259">
        <f t="shared" si="247"/>
        <v>0</v>
      </c>
      <c r="AH259">
        <f t="shared" si="273"/>
        <v>10.64</v>
      </c>
      <c r="AI259">
        <f t="shared" si="273"/>
        <v>0</v>
      </c>
      <c r="AJ259">
        <f t="shared" si="248"/>
        <v>0</v>
      </c>
      <c r="AK259">
        <v>8080.11</v>
      </c>
      <c r="AL259">
        <v>223.69</v>
      </c>
      <c r="AM259">
        <v>50.7</v>
      </c>
      <c r="AN259">
        <v>0.81</v>
      </c>
      <c r="AO259">
        <v>7805.72</v>
      </c>
      <c r="AP259">
        <v>0</v>
      </c>
      <c r="AQ259">
        <v>10.64</v>
      </c>
      <c r="AR259">
        <v>0</v>
      </c>
      <c r="AS259">
        <v>0</v>
      </c>
      <c r="AT259">
        <v>70</v>
      </c>
      <c r="AU259">
        <v>10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235</v>
      </c>
      <c r="BM259">
        <v>0</v>
      </c>
      <c r="BN259">
        <v>0</v>
      </c>
      <c r="BO259" t="s">
        <v>3</v>
      </c>
      <c r="BP259">
        <v>0</v>
      </c>
      <c r="BQ259">
        <v>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70</v>
      </c>
      <c r="CA259">
        <v>10</v>
      </c>
      <c r="CB259" t="s">
        <v>3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49"/>
        <v>43147.78</v>
      </c>
      <c r="CQ259">
        <f t="shared" si="250"/>
        <v>223.69</v>
      </c>
      <c r="CR259">
        <f>((((ET259)*BB259-(EU259)*BS259)+AE259*BS259)*AV259)</f>
        <v>50.7</v>
      </c>
      <c r="CS259">
        <f t="shared" si="251"/>
        <v>0.81</v>
      </c>
      <c r="CT259">
        <f t="shared" si="252"/>
        <v>7805.72</v>
      </c>
      <c r="CU259">
        <f t="shared" si="253"/>
        <v>0</v>
      </c>
      <c r="CV259">
        <f t="shared" si="254"/>
        <v>10.64</v>
      </c>
      <c r="CW259">
        <f t="shared" si="255"/>
        <v>0</v>
      </c>
      <c r="CX259">
        <f t="shared" si="256"/>
        <v>0</v>
      </c>
      <c r="CY259">
        <f t="shared" si="257"/>
        <v>29177.778000000002</v>
      </c>
      <c r="CZ259">
        <f t="shared" si="258"/>
        <v>4168.2539999999999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1003</v>
      </c>
      <c r="DV259" t="s">
        <v>17</v>
      </c>
      <c r="DW259" t="s">
        <v>17</v>
      </c>
      <c r="DX259">
        <v>100</v>
      </c>
      <c r="DZ259" t="s">
        <v>3</v>
      </c>
      <c r="EA259" t="s">
        <v>3</v>
      </c>
      <c r="EB259" t="s">
        <v>3</v>
      </c>
      <c r="EC259" t="s">
        <v>3</v>
      </c>
      <c r="EE259">
        <v>1441815344</v>
      </c>
      <c r="EF259">
        <v>1</v>
      </c>
      <c r="EG259" t="s">
        <v>19</v>
      </c>
      <c r="EH259">
        <v>0</v>
      </c>
      <c r="EI259" t="s">
        <v>3</v>
      </c>
      <c r="EJ259">
        <v>4</v>
      </c>
      <c r="EK259">
        <v>0</v>
      </c>
      <c r="EL259" t="s">
        <v>20</v>
      </c>
      <c r="EM259" t="s">
        <v>21</v>
      </c>
      <c r="EO259" t="s">
        <v>3</v>
      </c>
      <c r="EQ259">
        <v>1024</v>
      </c>
      <c r="ER259">
        <v>8080.11</v>
      </c>
      <c r="ES259">
        <v>223.69</v>
      </c>
      <c r="ET259">
        <v>50.7</v>
      </c>
      <c r="EU259">
        <v>0.81</v>
      </c>
      <c r="EV259">
        <v>7805.72</v>
      </c>
      <c r="EW259">
        <v>10.64</v>
      </c>
      <c r="EX259">
        <v>0</v>
      </c>
      <c r="EY259">
        <v>0</v>
      </c>
      <c r="FQ259">
        <v>0</v>
      </c>
      <c r="FR259">
        <f t="shared" si="259"/>
        <v>0</v>
      </c>
      <c r="FS259">
        <v>0</v>
      </c>
      <c r="FX259">
        <v>70</v>
      </c>
      <c r="FY259">
        <v>10</v>
      </c>
      <c r="GA259" t="s">
        <v>3</v>
      </c>
      <c r="GD259">
        <v>0</v>
      </c>
      <c r="GF259">
        <v>279930794</v>
      </c>
      <c r="GG259">
        <v>2</v>
      </c>
      <c r="GH259">
        <v>1</v>
      </c>
      <c r="GI259">
        <v>-2</v>
      </c>
      <c r="GJ259">
        <v>0</v>
      </c>
      <c r="GK259">
        <f>ROUND(R259*(R12)/100,2)</f>
        <v>4.68</v>
      </c>
      <c r="GL259">
        <f t="shared" si="260"/>
        <v>0</v>
      </c>
      <c r="GM259">
        <f t="shared" si="261"/>
        <v>76498.490000000005</v>
      </c>
      <c r="GN259">
        <f t="shared" si="262"/>
        <v>0</v>
      </c>
      <c r="GO259">
        <f t="shared" si="263"/>
        <v>0</v>
      </c>
      <c r="GP259">
        <f t="shared" si="264"/>
        <v>76498.490000000005</v>
      </c>
      <c r="GR259">
        <v>0</v>
      </c>
      <c r="GS259">
        <v>3</v>
      </c>
      <c r="GT259">
        <v>0</v>
      </c>
      <c r="GU259" t="s">
        <v>3</v>
      </c>
      <c r="GV259">
        <f t="shared" si="265"/>
        <v>0</v>
      </c>
      <c r="GW259">
        <v>1</v>
      </c>
      <c r="GX259">
        <f t="shared" si="266"/>
        <v>0</v>
      </c>
      <c r="HA259">
        <v>0</v>
      </c>
      <c r="HB259">
        <v>0</v>
      </c>
      <c r="HC259">
        <f t="shared" si="267"/>
        <v>0</v>
      </c>
      <c r="HE259" t="s">
        <v>3</v>
      </c>
      <c r="HF259" t="s">
        <v>3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45" x14ac:dyDescent="0.2">
      <c r="A260">
        <v>17</v>
      </c>
      <c r="B260">
        <v>1</v>
      </c>
      <c r="D260">
        <f>ROW(EtalonRes!A243)</f>
        <v>243</v>
      </c>
      <c r="E260" t="s">
        <v>3</v>
      </c>
      <c r="F260" t="s">
        <v>236</v>
      </c>
      <c r="G260" t="s">
        <v>237</v>
      </c>
      <c r="H260" t="s">
        <v>17</v>
      </c>
      <c r="I260">
        <f>ROUND((270+120+144)/100,9)</f>
        <v>5.34</v>
      </c>
      <c r="J260">
        <v>0</v>
      </c>
      <c r="K260">
        <f>ROUND((270+120+144)/100,9)</f>
        <v>5.34</v>
      </c>
      <c r="O260">
        <f t="shared" si="235"/>
        <v>13398.11</v>
      </c>
      <c r="P260">
        <f t="shared" si="236"/>
        <v>1082.95</v>
      </c>
      <c r="Q260">
        <f t="shared" si="237"/>
        <v>125.54</v>
      </c>
      <c r="R260">
        <f t="shared" si="238"/>
        <v>0.37</v>
      </c>
      <c r="S260">
        <f t="shared" si="239"/>
        <v>12189.62</v>
      </c>
      <c r="T260">
        <f t="shared" si="240"/>
        <v>0</v>
      </c>
      <c r="U260">
        <f t="shared" si="241"/>
        <v>18.369599999999998</v>
      </c>
      <c r="V260">
        <f t="shared" si="242"/>
        <v>0</v>
      </c>
      <c r="W260">
        <f t="shared" si="243"/>
        <v>0</v>
      </c>
      <c r="X260">
        <f t="shared" si="244"/>
        <v>8532.73</v>
      </c>
      <c r="Y260">
        <f t="shared" si="245"/>
        <v>1218.96</v>
      </c>
      <c r="AA260">
        <v>-1</v>
      </c>
      <c r="AB260">
        <f t="shared" si="246"/>
        <v>2509.0100000000002</v>
      </c>
      <c r="AC260">
        <f>ROUND((ES260),6)</f>
        <v>202.8</v>
      </c>
      <c r="AD260">
        <f>ROUND((((ET260)-(EU260))+AE260),6)</f>
        <v>23.51</v>
      </c>
      <c r="AE260">
        <f t="shared" si="272"/>
        <v>7.0000000000000007E-2</v>
      </c>
      <c r="AF260">
        <f t="shared" si="272"/>
        <v>2282.6999999999998</v>
      </c>
      <c r="AG260">
        <f t="shared" si="247"/>
        <v>0</v>
      </c>
      <c r="AH260">
        <f t="shared" si="273"/>
        <v>3.44</v>
      </c>
      <c r="AI260">
        <f t="shared" si="273"/>
        <v>0</v>
      </c>
      <c r="AJ260">
        <f t="shared" si="248"/>
        <v>0</v>
      </c>
      <c r="AK260">
        <v>2509.0100000000002</v>
      </c>
      <c r="AL260">
        <v>202.8</v>
      </c>
      <c r="AM260">
        <v>23.51</v>
      </c>
      <c r="AN260">
        <v>7.0000000000000007E-2</v>
      </c>
      <c r="AO260">
        <v>2282.6999999999998</v>
      </c>
      <c r="AP260">
        <v>0</v>
      </c>
      <c r="AQ260">
        <v>3.44</v>
      </c>
      <c r="AR260">
        <v>0</v>
      </c>
      <c r="AS260">
        <v>0</v>
      </c>
      <c r="AT260">
        <v>70</v>
      </c>
      <c r="AU260">
        <v>10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4</v>
      </c>
      <c r="BJ260" t="s">
        <v>238</v>
      </c>
      <c r="BM260">
        <v>0</v>
      </c>
      <c r="BN260">
        <v>0</v>
      </c>
      <c r="BO260" t="s">
        <v>3</v>
      </c>
      <c r="BP260">
        <v>0</v>
      </c>
      <c r="BQ260">
        <v>1</v>
      </c>
      <c r="BR260">
        <v>0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70</v>
      </c>
      <c r="CA260">
        <v>10</v>
      </c>
      <c r="CB260" t="s">
        <v>3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49"/>
        <v>13398.11</v>
      </c>
      <c r="CQ260">
        <f t="shared" si="250"/>
        <v>202.8</v>
      </c>
      <c r="CR260">
        <f>((((ET260)*BB260-(EU260)*BS260)+AE260*BS260)*AV260)</f>
        <v>23.51</v>
      </c>
      <c r="CS260">
        <f t="shared" si="251"/>
        <v>7.0000000000000007E-2</v>
      </c>
      <c r="CT260">
        <f t="shared" si="252"/>
        <v>2282.6999999999998</v>
      </c>
      <c r="CU260">
        <f t="shared" si="253"/>
        <v>0</v>
      </c>
      <c r="CV260">
        <f t="shared" si="254"/>
        <v>3.44</v>
      </c>
      <c r="CW260">
        <f t="shared" si="255"/>
        <v>0</v>
      </c>
      <c r="CX260">
        <f t="shared" si="256"/>
        <v>0</v>
      </c>
      <c r="CY260">
        <f t="shared" si="257"/>
        <v>8532.7340000000004</v>
      </c>
      <c r="CZ260">
        <f t="shared" si="258"/>
        <v>1218.9620000000002</v>
      </c>
      <c r="DC260" t="s">
        <v>3</v>
      </c>
      <c r="DD260" t="s">
        <v>3</v>
      </c>
      <c r="DE260" t="s">
        <v>3</v>
      </c>
      <c r="DF260" t="s">
        <v>3</v>
      </c>
      <c r="DG260" t="s">
        <v>3</v>
      </c>
      <c r="DH260" t="s">
        <v>3</v>
      </c>
      <c r="DI260" t="s">
        <v>3</v>
      </c>
      <c r="DJ260" t="s">
        <v>3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1003</v>
      </c>
      <c r="DV260" t="s">
        <v>17</v>
      </c>
      <c r="DW260" t="s">
        <v>17</v>
      </c>
      <c r="DX260">
        <v>100</v>
      </c>
      <c r="DZ260" t="s">
        <v>3</v>
      </c>
      <c r="EA260" t="s">
        <v>3</v>
      </c>
      <c r="EB260" t="s">
        <v>3</v>
      </c>
      <c r="EC260" t="s">
        <v>3</v>
      </c>
      <c r="EE260">
        <v>1441815344</v>
      </c>
      <c r="EF260">
        <v>1</v>
      </c>
      <c r="EG260" t="s">
        <v>19</v>
      </c>
      <c r="EH260">
        <v>0</v>
      </c>
      <c r="EI260" t="s">
        <v>3</v>
      </c>
      <c r="EJ260">
        <v>4</v>
      </c>
      <c r="EK260">
        <v>0</v>
      </c>
      <c r="EL260" t="s">
        <v>20</v>
      </c>
      <c r="EM260" t="s">
        <v>21</v>
      </c>
      <c r="EO260" t="s">
        <v>3</v>
      </c>
      <c r="EQ260">
        <v>1024</v>
      </c>
      <c r="ER260">
        <v>2509.0100000000002</v>
      </c>
      <c r="ES260">
        <v>202.8</v>
      </c>
      <c r="ET260">
        <v>23.51</v>
      </c>
      <c r="EU260">
        <v>7.0000000000000007E-2</v>
      </c>
      <c r="EV260">
        <v>2282.6999999999998</v>
      </c>
      <c r="EW260">
        <v>3.44</v>
      </c>
      <c r="EX260">
        <v>0</v>
      </c>
      <c r="EY260">
        <v>0</v>
      </c>
      <c r="FQ260">
        <v>0</v>
      </c>
      <c r="FR260">
        <f t="shared" si="259"/>
        <v>0</v>
      </c>
      <c r="FS260">
        <v>0</v>
      </c>
      <c r="FX260">
        <v>70</v>
      </c>
      <c r="FY260">
        <v>10</v>
      </c>
      <c r="GA260" t="s">
        <v>3</v>
      </c>
      <c r="GD260">
        <v>0</v>
      </c>
      <c r="GF260">
        <v>-1929809553</v>
      </c>
      <c r="GG260">
        <v>2</v>
      </c>
      <c r="GH260">
        <v>1</v>
      </c>
      <c r="GI260">
        <v>-2</v>
      </c>
      <c r="GJ260">
        <v>0</v>
      </c>
      <c r="GK260">
        <f>ROUND(R260*(R12)/100,2)</f>
        <v>0.4</v>
      </c>
      <c r="GL260">
        <f t="shared" si="260"/>
        <v>0</v>
      </c>
      <c r="GM260">
        <f t="shared" si="261"/>
        <v>23150.2</v>
      </c>
      <c r="GN260">
        <f t="shared" si="262"/>
        <v>0</v>
      </c>
      <c r="GO260">
        <f t="shared" si="263"/>
        <v>0</v>
      </c>
      <c r="GP260">
        <f t="shared" si="264"/>
        <v>23150.2</v>
      </c>
      <c r="GR260">
        <v>0</v>
      </c>
      <c r="GS260">
        <v>3</v>
      </c>
      <c r="GT260">
        <v>0</v>
      </c>
      <c r="GU260" t="s">
        <v>3</v>
      </c>
      <c r="GV260">
        <f t="shared" si="265"/>
        <v>0</v>
      </c>
      <c r="GW260">
        <v>1</v>
      </c>
      <c r="GX260">
        <f t="shared" si="266"/>
        <v>0</v>
      </c>
      <c r="HA260">
        <v>0</v>
      </c>
      <c r="HB260">
        <v>0</v>
      </c>
      <c r="HC260">
        <f t="shared" si="267"/>
        <v>0</v>
      </c>
      <c r="HE260" t="s">
        <v>3</v>
      </c>
      <c r="HF260" t="s">
        <v>3</v>
      </c>
      <c r="HM260" t="s">
        <v>3</v>
      </c>
      <c r="HN260" t="s">
        <v>3</v>
      </c>
      <c r="HO260" t="s">
        <v>3</v>
      </c>
      <c r="HP260" t="s">
        <v>3</v>
      </c>
      <c r="HQ260" t="s">
        <v>3</v>
      </c>
      <c r="IK260">
        <v>0</v>
      </c>
    </row>
    <row r="262" spans="1:245" x14ac:dyDescent="0.2">
      <c r="A262" s="2">
        <v>51</v>
      </c>
      <c r="B262" s="2">
        <f>B229</f>
        <v>1</v>
      </c>
      <c r="C262" s="2">
        <f>A229</f>
        <v>4</v>
      </c>
      <c r="D262" s="2">
        <f>ROW(A229)</f>
        <v>229</v>
      </c>
      <c r="E262" s="2"/>
      <c r="F262" s="2" t="str">
        <f>IF(F229&lt;&gt;"",F229,"")</f>
        <v>Новый раздел</v>
      </c>
      <c r="G262" s="2" t="str">
        <f>IF(G229&lt;&gt;"",G229,"")</f>
        <v>Раздел: 3. Вентиляция и теплоснабжение приточных установок</v>
      </c>
      <c r="H262" s="2">
        <v>0</v>
      </c>
      <c r="I262" s="2"/>
      <c r="J262" s="2"/>
      <c r="K262" s="2"/>
      <c r="L262" s="2"/>
      <c r="M262" s="2"/>
      <c r="N262" s="2"/>
      <c r="O262" s="2">
        <f t="shared" ref="O262:T262" si="274">ROUND(AB262,2)</f>
        <v>49463.82</v>
      </c>
      <c r="P262" s="2">
        <f t="shared" si="274"/>
        <v>279.16000000000003</v>
      </c>
      <c r="Q262" s="2">
        <f t="shared" si="274"/>
        <v>98.58</v>
      </c>
      <c r="R262" s="2">
        <f t="shared" si="274"/>
        <v>33.64</v>
      </c>
      <c r="S262" s="2">
        <f t="shared" si="274"/>
        <v>49086.080000000002</v>
      </c>
      <c r="T262" s="2">
        <f t="shared" si="274"/>
        <v>0</v>
      </c>
      <c r="U262" s="2">
        <f>AH262</f>
        <v>74.000000000000014</v>
      </c>
      <c r="V262" s="2">
        <f>AI262</f>
        <v>0</v>
      </c>
      <c r="W262" s="2">
        <f>ROUND(AJ262,2)</f>
        <v>0</v>
      </c>
      <c r="X262" s="2">
        <f>ROUND(AK262,2)</f>
        <v>34360.25</v>
      </c>
      <c r="Y262" s="2">
        <f>ROUND(AL262,2)</f>
        <v>4908.6099999999997</v>
      </c>
      <c r="Z262" s="2"/>
      <c r="AA262" s="2"/>
      <c r="AB262" s="2">
        <f>ROUND(SUMIF(AA233:AA260,"=1471988752",O233:O260),2)</f>
        <v>49463.82</v>
      </c>
      <c r="AC262" s="2">
        <f>ROUND(SUMIF(AA233:AA260,"=1471988752",P233:P260),2)</f>
        <v>279.16000000000003</v>
      </c>
      <c r="AD262" s="2">
        <f>ROUND(SUMIF(AA233:AA260,"=1471988752",Q233:Q260),2)</f>
        <v>98.58</v>
      </c>
      <c r="AE262" s="2">
        <f>ROUND(SUMIF(AA233:AA260,"=1471988752",R233:R260),2)</f>
        <v>33.64</v>
      </c>
      <c r="AF262" s="2">
        <f>ROUND(SUMIF(AA233:AA260,"=1471988752",S233:S260),2)</f>
        <v>49086.080000000002</v>
      </c>
      <c r="AG262" s="2">
        <f>ROUND(SUMIF(AA233:AA260,"=1471988752",T233:T260),2)</f>
        <v>0</v>
      </c>
      <c r="AH262" s="2">
        <f>SUMIF(AA233:AA260,"=1471988752",U233:U260)</f>
        <v>74.000000000000014</v>
      </c>
      <c r="AI262" s="2">
        <f>SUMIF(AA233:AA260,"=1471988752",V233:V260)</f>
        <v>0</v>
      </c>
      <c r="AJ262" s="2">
        <f>ROUND(SUMIF(AA233:AA260,"=1471988752",W233:W260),2)</f>
        <v>0</v>
      </c>
      <c r="AK262" s="2">
        <f>ROUND(SUMIF(AA233:AA260,"=1471988752",X233:X260),2)</f>
        <v>34360.25</v>
      </c>
      <c r="AL262" s="2">
        <f>ROUND(SUMIF(AA233:AA260,"=1471988752",Y233:Y260),2)</f>
        <v>4908.6099999999997</v>
      </c>
      <c r="AM262" s="2"/>
      <c r="AN262" s="2"/>
      <c r="AO262" s="2">
        <f t="shared" ref="AO262:BD262" si="275">ROUND(BX262,2)</f>
        <v>0</v>
      </c>
      <c r="AP262" s="2">
        <f t="shared" si="275"/>
        <v>0</v>
      </c>
      <c r="AQ262" s="2">
        <f t="shared" si="275"/>
        <v>0</v>
      </c>
      <c r="AR262" s="2">
        <f t="shared" si="275"/>
        <v>88769</v>
      </c>
      <c r="AS262" s="2">
        <f t="shared" si="275"/>
        <v>0</v>
      </c>
      <c r="AT262" s="2">
        <f t="shared" si="275"/>
        <v>0</v>
      </c>
      <c r="AU262" s="2">
        <f t="shared" si="275"/>
        <v>88769</v>
      </c>
      <c r="AV262" s="2">
        <f t="shared" si="275"/>
        <v>279.16000000000003</v>
      </c>
      <c r="AW262" s="2">
        <f t="shared" si="275"/>
        <v>279.16000000000003</v>
      </c>
      <c r="AX262" s="2">
        <f t="shared" si="275"/>
        <v>0</v>
      </c>
      <c r="AY262" s="2">
        <f t="shared" si="275"/>
        <v>279.16000000000003</v>
      </c>
      <c r="AZ262" s="2">
        <f t="shared" si="275"/>
        <v>0</v>
      </c>
      <c r="BA262" s="2">
        <f t="shared" si="275"/>
        <v>0</v>
      </c>
      <c r="BB262" s="2">
        <f t="shared" si="275"/>
        <v>0</v>
      </c>
      <c r="BC262" s="2">
        <f t="shared" si="275"/>
        <v>0</v>
      </c>
      <c r="BD262" s="2">
        <f t="shared" si="275"/>
        <v>0</v>
      </c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>
        <f>ROUND(SUMIF(AA233:AA260,"=1471988752",FQ233:FQ260),2)</f>
        <v>0</v>
      </c>
      <c r="BY262" s="2">
        <f>ROUND(SUMIF(AA233:AA260,"=1471988752",FR233:FR260),2)</f>
        <v>0</v>
      </c>
      <c r="BZ262" s="2">
        <f>ROUND(SUMIF(AA233:AA260,"=1471988752",GL233:GL260),2)</f>
        <v>0</v>
      </c>
      <c r="CA262" s="2">
        <f>ROUND(SUMIF(AA233:AA260,"=1471988752",GM233:GM260),2)</f>
        <v>88769</v>
      </c>
      <c r="CB262" s="2">
        <f>ROUND(SUMIF(AA233:AA260,"=1471988752",GN233:GN260),2)</f>
        <v>0</v>
      </c>
      <c r="CC262" s="2">
        <f>ROUND(SUMIF(AA233:AA260,"=1471988752",GO233:GO260),2)</f>
        <v>0</v>
      </c>
      <c r="CD262" s="2">
        <f>ROUND(SUMIF(AA233:AA260,"=1471988752",GP233:GP260),2)</f>
        <v>88769</v>
      </c>
      <c r="CE262" s="2">
        <f>AC262-BX262</f>
        <v>279.16000000000003</v>
      </c>
      <c r="CF262" s="2">
        <f>AC262-BY262</f>
        <v>279.16000000000003</v>
      </c>
      <c r="CG262" s="2">
        <f>BX262-BZ262</f>
        <v>0</v>
      </c>
      <c r="CH262" s="2">
        <f>AC262-BX262-BY262+BZ262</f>
        <v>279.16000000000003</v>
      </c>
      <c r="CI262" s="2">
        <f>BY262-BZ262</f>
        <v>0</v>
      </c>
      <c r="CJ262" s="2">
        <f>ROUND(SUMIF(AA233:AA260,"=1471988752",GX233:GX260),2)</f>
        <v>0</v>
      </c>
      <c r="CK262" s="2">
        <f>ROUND(SUMIF(AA233:AA260,"=1471988752",GY233:GY260),2)</f>
        <v>0</v>
      </c>
      <c r="CL262" s="2">
        <f>ROUND(SUMIF(AA233:AA260,"=1471988752",GZ233:GZ260),2)</f>
        <v>0</v>
      </c>
      <c r="CM262" s="2">
        <f>ROUND(SUMIF(AA233:AA260,"=1471988752",HD233:HD260),2)</f>
        <v>0</v>
      </c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  <c r="EU262" s="3"/>
      <c r="EV262" s="3"/>
      <c r="EW262" s="3"/>
      <c r="EX262" s="3"/>
      <c r="EY262" s="3"/>
      <c r="EZ262" s="3"/>
      <c r="FA262" s="3"/>
      <c r="FB262" s="3"/>
      <c r="FC262" s="3"/>
      <c r="FD262" s="3"/>
      <c r="FE262" s="3"/>
      <c r="FF262" s="3"/>
      <c r="FG262" s="3"/>
      <c r="FH262" s="3"/>
      <c r="FI262" s="3"/>
      <c r="FJ262" s="3"/>
      <c r="FK262" s="3"/>
      <c r="FL262" s="3"/>
      <c r="FM262" s="3"/>
      <c r="FN262" s="3"/>
      <c r="FO262" s="3"/>
      <c r="FP262" s="3"/>
      <c r="FQ262" s="3"/>
      <c r="FR262" s="3"/>
      <c r="FS262" s="3"/>
      <c r="FT262" s="3"/>
      <c r="FU262" s="3"/>
      <c r="FV262" s="3"/>
      <c r="FW262" s="3"/>
      <c r="FX262" s="3"/>
      <c r="FY262" s="3"/>
      <c r="FZ262" s="3"/>
      <c r="GA262" s="3"/>
      <c r="GB262" s="3"/>
      <c r="GC262" s="3"/>
      <c r="GD262" s="3"/>
      <c r="GE262" s="3"/>
      <c r="GF262" s="3"/>
      <c r="GG262" s="3"/>
      <c r="GH262" s="3"/>
      <c r="GI262" s="3"/>
      <c r="GJ262" s="3"/>
      <c r="GK262" s="3"/>
      <c r="GL262" s="3"/>
      <c r="GM262" s="3"/>
      <c r="GN262" s="3"/>
      <c r="GO262" s="3"/>
      <c r="GP262" s="3"/>
      <c r="GQ262" s="3"/>
      <c r="GR262" s="3"/>
      <c r="GS262" s="3"/>
      <c r="GT262" s="3"/>
      <c r="GU262" s="3"/>
      <c r="GV262" s="3"/>
      <c r="GW262" s="3"/>
      <c r="GX262" s="3">
        <v>0</v>
      </c>
    </row>
    <row r="264" spans="1:245" x14ac:dyDescent="0.2">
      <c r="A264" s="4">
        <v>50</v>
      </c>
      <c r="B264" s="4">
        <v>0</v>
      </c>
      <c r="C264" s="4">
        <v>0</v>
      </c>
      <c r="D264" s="4">
        <v>1</v>
      </c>
      <c r="E264" s="4">
        <v>201</v>
      </c>
      <c r="F264" s="4">
        <f>ROUND(Source!O262,O264)</f>
        <v>49463.82</v>
      </c>
      <c r="G264" s="4" t="s">
        <v>45</v>
      </c>
      <c r="H264" s="4" t="s">
        <v>46</v>
      </c>
      <c r="I264" s="4"/>
      <c r="J264" s="4"/>
      <c r="K264" s="4">
        <v>201</v>
      </c>
      <c r="L264" s="4">
        <v>1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49463.82</v>
      </c>
      <c r="X264" s="4">
        <v>1</v>
      </c>
      <c r="Y264" s="4">
        <v>49463.82</v>
      </c>
      <c r="Z264" s="4"/>
      <c r="AA264" s="4"/>
      <c r="AB264" s="4"/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202</v>
      </c>
      <c r="F265" s="4">
        <f>ROUND(Source!P262,O265)</f>
        <v>279.16000000000003</v>
      </c>
      <c r="G265" s="4" t="s">
        <v>47</v>
      </c>
      <c r="H265" s="4" t="s">
        <v>48</v>
      </c>
      <c r="I265" s="4"/>
      <c r="J265" s="4"/>
      <c r="K265" s="4">
        <v>202</v>
      </c>
      <c r="L265" s="4">
        <v>2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279.16000000000003</v>
      </c>
      <c r="X265" s="4">
        <v>1</v>
      </c>
      <c r="Y265" s="4">
        <v>279.16000000000003</v>
      </c>
      <c r="Z265" s="4"/>
      <c r="AA265" s="4"/>
      <c r="AB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222</v>
      </c>
      <c r="F266" s="4">
        <f>ROUND(Source!AO262,O266)</f>
        <v>0</v>
      </c>
      <c r="G266" s="4" t="s">
        <v>49</v>
      </c>
      <c r="H266" s="4" t="s">
        <v>50</v>
      </c>
      <c r="I266" s="4"/>
      <c r="J266" s="4"/>
      <c r="K266" s="4">
        <v>222</v>
      </c>
      <c r="L266" s="4">
        <v>3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225</v>
      </c>
      <c r="F267" s="4">
        <f>ROUND(Source!AV262,O267)</f>
        <v>279.16000000000003</v>
      </c>
      <c r="G267" s="4" t="s">
        <v>51</v>
      </c>
      <c r="H267" s="4" t="s">
        <v>52</v>
      </c>
      <c r="I267" s="4"/>
      <c r="J267" s="4"/>
      <c r="K267" s="4">
        <v>225</v>
      </c>
      <c r="L267" s="4">
        <v>4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279.16000000000003</v>
      </c>
      <c r="X267" s="4">
        <v>1</v>
      </c>
      <c r="Y267" s="4">
        <v>279.16000000000003</v>
      </c>
      <c r="Z267" s="4"/>
      <c r="AA267" s="4"/>
      <c r="AB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226</v>
      </c>
      <c r="F268" s="4">
        <f>ROUND(Source!AW262,O268)</f>
        <v>279.16000000000003</v>
      </c>
      <c r="G268" s="4" t="s">
        <v>53</v>
      </c>
      <c r="H268" s="4" t="s">
        <v>54</v>
      </c>
      <c r="I268" s="4"/>
      <c r="J268" s="4"/>
      <c r="K268" s="4">
        <v>226</v>
      </c>
      <c r="L268" s="4">
        <v>5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279.16000000000003</v>
      </c>
      <c r="X268" s="4">
        <v>1</v>
      </c>
      <c r="Y268" s="4">
        <v>279.16000000000003</v>
      </c>
      <c r="Z268" s="4"/>
      <c r="AA268" s="4"/>
      <c r="AB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227</v>
      </c>
      <c r="F269" s="4">
        <f>ROUND(Source!AX262,O269)</f>
        <v>0</v>
      </c>
      <c r="G269" s="4" t="s">
        <v>55</v>
      </c>
      <c r="H269" s="4" t="s">
        <v>56</v>
      </c>
      <c r="I269" s="4"/>
      <c r="J269" s="4"/>
      <c r="K269" s="4">
        <v>227</v>
      </c>
      <c r="L269" s="4">
        <v>6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228</v>
      </c>
      <c r="F270" s="4">
        <f>ROUND(Source!AY262,O270)</f>
        <v>279.16000000000003</v>
      </c>
      <c r="G270" s="4" t="s">
        <v>57</v>
      </c>
      <c r="H270" s="4" t="s">
        <v>58</v>
      </c>
      <c r="I270" s="4"/>
      <c r="J270" s="4"/>
      <c r="K270" s="4">
        <v>228</v>
      </c>
      <c r="L270" s="4">
        <v>7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279.16000000000003</v>
      </c>
      <c r="X270" s="4">
        <v>1</v>
      </c>
      <c r="Y270" s="4">
        <v>279.16000000000003</v>
      </c>
      <c r="Z270" s="4"/>
      <c r="AA270" s="4"/>
      <c r="AB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216</v>
      </c>
      <c r="F271" s="4">
        <f>ROUND(Source!AP262,O271)</f>
        <v>0</v>
      </c>
      <c r="G271" s="4" t="s">
        <v>59</v>
      </c>
      <c r="H271" s="4" t="s">
        <v>60</v>
      </c>
      <c r="I271" s="4"/>
      <c r="J271" s="4"/>
      <c r="K271" s="4">
        <v>216</v>
      </c>
      <c r="L271" s="4">
        <v>8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223</v>
      </c>
      <c r="F272" s="4">
        <f>ROUND(Source!AQ262,O272)</f>
        <v>0</v>
      </c>
      <c r="G272" s="4" t="s">
        <v>61</v>
      </c>
      <c r="H272" s="4" t="s">
        <v>62</v>
      </c>
      <c r="I272" s="4"/>
      <c r="J272" s="4"/>
      <c r="K272" s="4">
        <v>223</v>
      </c>
      <c r="L272" s="4">
        <v>9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229</v>
      </c>
      <c r="F273" s="4">
        <f>ROUND(Source!AZ262,O273)</f>
        <v>0</v>
      </c>
      <c r="G273" s="4" t="s">
        <v>63</v>
      </c>
      <c r="H273" s="4" t="s">
        <v>64</v>
      </c>
      <c r="I273" s="4"/>
      <c r="J273" s="4"/>
      <c r="K273" s="4">
        <v>229</v>
      </c>
      <c r="L273" s="4">
        <v>10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203</v>
      </c>
      <c r="F274" s="4">
        <f>ROUND(Source!Q262,O274)</f>
        <v>98.58</v>
      </c>
      <c r="G274" s="4" t="s">
        <v>65</v>
      </c>
      <c r="H274" s="4" t="s">
        <v>66</v>
      </c>
      <c r="I274" s="4"/>
      <c r="J274" s="4"/>
      <c r="K274" s="4">
        <v>203</v>
      </c>
      <c r="L274" s="4">
        <v>11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98.58</v>
      </c>
      <c r="X274" s="4">
        <v>1</v>
      </c>
      <c r="Y274" s="4">
        <v>98.58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231</v>
      </c>
      <c r="F275" s="4">
        <f>ROUND(Source!BB262,O275)</f>
        <v>0</v>
      </c>
      <c r="G275" s="4" t="s">
        <v>67</v>
      </c>
      <c r="H275" s="4" t="s">
        <v>68</v>
      </c>
      <c r="I275" s="4"/>
      <c r="J275" s="4"/>
      <c r="K275" s="4">
        <v>231</v>
      </c>
      <c r="L275" s="4">
        <v>12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204</v>
      </c>
      <c r="F276" s="4">
        <f>ROUND(Source!R262,O276)</f>
        <v>33.64</v>
      </c>
      <c r="G276" s="4" t="s">
        <v>69</v>
      </c>
      <c r="H276" s="4" t="s">
        <v>70</v>
      </c>
      <c r="I276" s="4"/>
      <c r="J276" s="4"/>
      <c r="K276" s="4">
        <v>204</v>
      </c>
      <c r="L276" s="4">
        <v>13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33.64</v>
      </c>
      <c r="X276" s="4">
        <v>1</v>
      </c>
      <c r="Y276" s="4">
        <v>33.64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205</v>
      </c>
      <c r="F277" s="4">
        <f>ROUND(Source!S262,O277)</f>
        <v>49086.080000000002</v>
      </c>
      <c r="G277" s="4" t="s">
        <v>71</v>
      </c>
      <c r="H277" s="4" t="s">
        <v>72</v>
      </c>
      <c r="I277" s="4"/>
      <c r="J277" s="4"/>
      <c r="K277" s="4">
        <v>205</v>
      </c>
      <c r="L277" s="4">
        <v>14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49086.080000000002</v>
      </c>
      <c r="X277" s="4">
        <v>1</v>
      </c>
      <c r="Y277" s="4">
        <v>49086.080000000002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232</v>
      </c>
      <c r="F278" s="4">
        <f>ROUND(Source!BC262,O278)</f>
        <v>0</v>
      </c>
      <c r="G278" s="4" t="s">
        <v>73</v>
      </c>
      <c r="H278" s="4" t="s">
        <v>74</v>
      </c>
      <c r="I278" s="4"/>
      <c r="J278" s="4"/>
      <c r="K278" s="4">
        <v>232</v>
      </c>
      <c r="L278" s="4">
        <v>15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214</v>
      </c>
      <c r="F279" s="4">
        <f>ROUND(Source!AS262,O279)</f>
        <v>0</v>
      </c>
      <c r="G279" s="4" t="s">
        <v>75</v>
      </c>
      <c r="H279" s="4" t="s">
        <v>76</v>
      </c>
      <c r="I279" s="4"/>
      <c r="J279" s="4"/>
      <c r="K279" s="4">
        <v>214</v>
      </c>
      <c r="L279" s="4">
        <v>16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215</v>
      </c>
      <c r="F280" s="4">
        <f>ROUND(Source!AT262,O280)</f>
        <v>0</v>
      </c>
      <c r="G280" s="4" t="s">
        <v>77</v>
      </c>
      <c r="H280" s="4" t="s">
        <v>78</v>
      </c>
      <c r="I280" s="4"/>
      <c r="J280" s="4"/>
      <c r="K280" s="4">
        <v>215</v>
      </c>
      <c r="L280" s="4">
        <v>17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217</v>
      </c>
      <c r="F281" s="4">
        <f>ROUND(Source!AU262,O281)</f>
        <v>88769</v>
      </c>
      <c r="G281" s="4" t="s">
        <v>79</v>
      </c>
      <c r="H281" s="4" t="s">
        <v>80</v>
      </c>
      <c r="I281" s="4"/>
      <c r="J281" s="4"/>
      <c r="K281" s="4">
        <v>217</v>
      </c>
      <c r="L281" s="4">
        <v>18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88769</v>
      </c>
      <c r="X281" s="4">
        <v>1</v>
      </c>
      <c r="Y281" s="4">
        <v>88769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230</v>
      </c>
      <c r="F282" s="4">
        <f>ROUND(Source!BA262,O282)</f>
        <v>0</v>
      </c>
      <c r="G282" s="4" t="s">
        <v>81</v>
      </c>
      <c r="H282" s="4" t="s">
        <v>82</v>
      </c>
      <c r="I282" s="4"/>
      <c r="J282" s="4"/>
      <c r="K282" s="4">
        <v>230</v>
      </c>
      <c r="L282" s="4">
        <v>19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206</v>
      </c>
      <c r="F283" s="4">
        <f>ROUND(Source!T262,O283)</f>
        <v>0</v>
      </c>
      <c r="G283" s="4" t="s">
        <v>83</v>
      </c>
      <c r="H283" s="4" t="s">
        <v>84</v>
      </c>
      <c r="I283" s="4"/>
      <c r="J283" s="4"/>
      <c r="K283" s="4">
        <v>206</v>
      </c>
      <c r="L283" s="4">
        <v>20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207</v>
      </c>
      <c r="F284" s="4">
        <f>Source!U262</f>
        <v>74.000000000000014</v>
      </c>
      <c r="G284" s="4" t="s">
        <v>85</v>
      </c>
      <c r="H284" s="4" t="s">
        <v>86</v>
      </c>
      <c r="I284" s="4"/>
      <c r="J284" s="4"/>
      <c r="K284" s="4">
        <v>207</v>
      </c>
      <c r="L284" s="4">
        <v>21</v>
      </c>
      <c r="M284" s="4">
        <v>3</v>
      </c>
      <c r="N284" s="4" t="s">
        <v>3</v>
      </c>
      <c r="O284" s="4">
        <v>-1</v>
      </c>
      <c r="P284" s="4"/>
      <c r="Q284" s="4"/>
      <c r="R284" s="4"/>
      <c r="S284" s="4"/>
      <c r="T284" s="4"/>
      <c r="U284" s="4"/>
      <c r="V284" s="4"/>
      <c r="W284" s="4">
        <v>74.000000000000014</v>
      </c>
      <c r="X284" s="4">
        <v>1</v>
      </c>
      <c r="Y284" s="4">
        <v>74.000000000000014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208</v>
      </c>
      <c r="F285" s="4">
        <f>Source!V262</f>
        <v>0</v>
      </c>
      <c r="G285" s="4" t="s">
        <v>87</v>
      </c>
      <c r="H285" s="4" t="s">
        <v>88</v>
      </c>
      <c r="I285" s="4"/>
      <c r="J285" s="4"/>
      <c r="K285" s="4">
        <v>208</v>
      </c>
      <c r="L285" s="4">
        <v>22</v>
      </c>
      <c r="M285" s="4">
        <v>3</v>
      </c>
      <c r="N285" s="4" t="s">
        <v>3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209</v>
      </c>
      <c r="F286" s="4">
        <f>ROUND(Source!W262,O286)</f>
        <v>0</v>
      </c>
      <c r="G286" s="4" t="s">
        <v>89</v>
      </c>
      <c r="H286" s="4" t="s">
        <v>90</v>
      </c>
      <c r="I286" s="4"/>
      <c r="J286" s="4"/>
      <c r="K286" s="4">
        <v>209</v>
      </c>
      <c r="L286" s="4">
        <v>23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233</v>
      </c>
      <c r="F287" s="4">
        <f>ROUND(Source!BD262,O287)</f>
        <v>0</v>
      </c>
      <c r="G287" s="4" t="s">
        <v>91</v>
      </c>
      <c r="H287" s="4" t="s">
        <v>92</v>
      </c>
      <c r="I287" s="4"/>
      <c r="J287" s="4"/>
      <c r="K287" s="4">
        <v>233</v>
      </c>
      <c r="L287" s="4">
        <v>24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210</v>
      </c>
      <c r="F288" s="4">
        <f>ROUND(Source!X262,O288)</f>
        <v>34360.25</v>
      </c>
      <c r="G288" s="4" t="s">
        <v>93</v>
      </c>
      <c r="H288" s="4" t="s">
        <v>94</v>
      </c>
      <c r="I288" s="4"/>
      <c r="J288" s="4"/>
      <c r="K288" s="4">
        <v>210</v>
      </c>
      <c r="L288" s="4">
        <v>25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34360.25</v>
      </c>
      <c r="X288" s="4">
        <v>1</v>
      </c>
      <c r="Y288" s="4">
        <v>34360.25</v>
      </c>
      <c r="Z288" s="4"/>
      <c r="AA288" s="4"/>
      <c r="AB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211</v>
      </c>
      <c r="F289" s="4">
        <f>ROUND(Source!Y262,O289)</f>
        <v>4908.6099999999997</v>
      </c>
      <c r="G289" s="4" t="s">
        <v>95</v>
      </c>
      <c r="H289" s="4" t="s">
        <v>96</v>
      </c>
      <c r="I289" s="4"/>
      <c r="J289" s="4"/>
      <c r="K289" s="4">
        <v>211</v>
      </c>
      <c r="L289" s="4">
        <v>26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4908.6099999999997</v>
      </c>
      <c r="X289" s="4">
        <v>1</v>
      </c>
      <c r="Y289" s="4">
        <v>4908.6099999999997</v>
      </c>
      <c r="Z289" s="4"/>
      <c r="AA289" s="4"/>
      <c r="AB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224</v>
      </c>
      <c r="F290" s="4">
        <f>ROUND(Source!AR262,O290)</f>
        <v>88769</v>
      </c>
      <c r="G290" s="4" t="s">
        <v>97</v>
      </c>
      <c r="H290" s="4" t="s">
        <v>98</v>
      </c>
      <c r="I290" s="4"/>
      <c r="J290" s="4"/>
      <c r="K290" s="4">
        <v>224</v>
      </c>
      <c r="L290" s="4">
        <v>27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88769</v>
      </c>
      <c r="X290" s="4">
        <v>1</v>
      </c>
      <c r="Y290" s="4">
        <v>88769</v>
      </c>
      <c r="Z290" s="4"/>
      <c r="AA290" s="4"/>
      <c r="AB290" s="4"/>
    </row>
    <row r="292" spans="1:245" x14ac:dyDescent="0.2">
      <c r="A292" s="1">
        <v>4</v>
      </c>
      <c r="B292" s="1">
        <v>1</v>
      </c>
      <c r="C292" s="1"/>
      <c r="D292" s="1">
        <f>ROW(A564)</f>
        <v>564</v>
      </c>
      <c r="E292" s="1"/>
      <c r="F292" s="1" t="s">
        <v>13</v>
      </c>
      <c r="G292" s="1" t="s">
        <v>316</v>
      </c>
      <c r="H292" s="1" t="s">
        <v>3</v>
      </c>
      <c r="I292" s="1">
        <v>0</v>
      </c>
      <c r="J292" s="1"/>
      <c r="K292" s="1">
        <v>0</v>
      </c>
      <c r="L292" s="1"/>
      <c r="M292" s="1" t="s">
        <v>3</v>
      </c>
      <c r="N292" s="1"/>
      <c r="O292" s="1"/>
      <c r="P292" s="1"/>
      <c r="Q292" s="1"/>
      <c r="R292" s="1"/>
      <c r="S292" s="1">
        <v>0</v>
      </c>
      <c r="T292" s="1"/>
      <c r="U292" s="1" t="s">
        <v>3</v>
      </c>
      <c r="V292" s="1">
        <v>0</v>
      </c>
      <c r="W292" s="1"/>
      <c r="X292" s="1"/>
      <c r="Y292" s="1"/>
      <c r="Z292" s="1"/>
      <c r="AA292" s="1"/>
      <c r="AB292" s="1" t="s">
        <v>3</v>
      </c>
      <c r="AC292" s="1" t="s">
        <v>3</v>
      </c>
      <c r="AD292" s="1" t="s">
        <v>3</v>
      </c>
      <c r="AE292" s="1" t="s">
        <v>3</v>
      </c>
      <c r="AF292" s="1" t="s">
        <v>3</v>
      </c>
      <c r="AG292" s="1" t="s">
        <v>3</v>
      </c>
      <c r="AH292" s="1"/>
      <c r="AI292" s="1"/>
      <c r="AJ292" s="1"/>
      <c r="AK292" s="1"/>
      <c r="AL292" s="1"/>
      <c r="AM292" s="1"/>
      <c r="AN292" s="1"/>
      <c r="AO292" s="1"/>
      <c r="AP292" s="1" t="s">
        <v>3</v>
      </c>
      <c r="AQ292" s="1" t="s">
        <v>3</v>
      </c>
      <c r="AR292" s="1" t="s">
        <v>3</v>
      </c>
      <c r="AS292" s="1"/>
      <c r="AT292" s="1"/>
      <c r="AU292" s="1"/>
      <c r="AV292" s="1"/>
      <c r="AW292" s="1"/>
      <c r="AX292" s="1"/>
      <c r="AY292" s="1"/>
      <c r="AZ292" s="1" t="s">
        <v>3</v>
      </c>
      <c r="BA292" s="1"/>
      <c r="BB292" s="1" t="s">
        <v>3</v>
      </c>
      <c r="BC292" s="1" t="s">
        <v>3</v>
      </c>
      <c r="BD292" s="1" t="s">
        <v>3</v>
      </c>
      <c r="BE292" s="1" t="s">
        <v>3</v>
      </c>
      <c r="BF292" s="1" t="s">
        <v>3</v>
      </c>
      <c r="BG292" s="1" t="s">
        <v>3</v>
      </c>
      <c r="BH292" s="1" t="s">
        <v>3</v>
      </c>
      <c r="BI292" s="1" t="s">
        <v>3</v>
      </c>
      <c r="BJ292" s="1" t="s">
        <v>3</v>
      </c>
      <c r="BK292" s="1" t="s">
        <v>3</v>
      </c>
      <c r="BL292" s="1" t="s">
        <v>3</v>
      </c>
      <c r="BM292" s="1" t="s">
        <v>3</v>
      </c>
      <c r="BN292" s="1" t="s">
        <v>3</v>
      </c>
      <c r="BO292" s="1" t="s">
        <v>3</v>
      </c>
      <c r="BP292" s="1" t="s">
        <v>3</v>
      </c>
      <c r="BQ292" s="1"/>
      <c r="BR292" s="1"/>
      <c r="BS292" s="1"/>
      <c r="BT292" s="1"/>
      <c r="BU292" s="1"/>
      <c r="BV292" s="1"/>
      <c r="BW292" s="1"/>
      <c r="BX292" s="1">
        <v>0</v>
      </c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>
        <v>0</v>
      </c>
    </row>
    <row r="294" spans="1:245" x14ac:dyDescent="0.2">
      <c r="A294" s="2">
        <v>52</v>
      </c>
      <c r="B294" s="2">
        <f t="shared" ref="B294:G294" si="276">B564</f>
        <v>1</v>
      </c>
      <c r="C294" s="2">
        <f t="shared" si="276"/>
        <v>4</v>
      </c>
      <c r="D294" s="2">
        <f t="shared" si="276"/>
        <v>292</v>
      </c>
      <c r="E294" s="2">
        <f t="shared" si="276"/>
        <v>0</v>
      </c>
      <c r="F294" s="2" t="str">
        <f t="shared" si="276"/>
        <v>Новый раздел</v>
      </c>
      <c r="G294" s="2" t="str">
        <f t="shared" si="276"/>
        <v>Раздел: 4. Электроосвещение и электрооборудование</v>
      </c>
      <c r="H294" s="2"/>
      <c r="I294" s="2"/>
      <c r="J294" s="2"/>
      <c r="K294" s="2"/>
      <c r="L294" s="2"/>
      <c r="M294" s="2"/>
      <c r="N294" s="2"/>
      <c r="O294" s="2">
        <f t="shared" ref="O294:AT294" si="277">O564</f>
        <v>518105.29</v>
      </c>
      <c r="P294" s="2">
        <f t="shared" si="277"/>
        <v>5966.26</v>
      </c>
      <c r="Q294" s="2">
        <f t="shared" si="277"/>
        <v>0</v>
      </c>
      <c r="R294" s="2">
        <f t="shared" si="277"/>
        <v>0</v>
      </c>
      <c r="S294" s="2">
        <f t="shared" si="277"/>
        <v>512139.03</v>
      </c>
      <c r="T294" s="2">
        <f t="shared" si="277"/>
        <v>0</v>
      </c>
      <c r="U294" s="2">
        <f t="shared" si="277"/>
        <v>850.87308000000007</v>
      </c>
      <c r="V294" s="2">
        <f t="shared" si="277"/>
        <v>0</v>
      </c>
      <c r="W294" s="2">
        <f t="shared" si="277"/>
        <v>0</v>
      </c>
      <c r="X294" s="2">
        <f t="shared" si="277"/>
        <v>358497.31</v>
      </c>
      <c r="Y294" s="2">
        <f t="shared" si="277"/>
        <v>51213.919999999998</v>
      </c>
      <c r="Z294" s="2">
        <f t="shared" si="277"/>
        <v>0</v>
      </c>
      <c r="AA294" s="2">
        <f t="shared" si="277"/>
        <v>0</v>
      </c>
      <c r="AB294" s="2">
        <f t="shared" si="277"/>
        <v>0</v>
      </c>
      <c r="AC294" s="2">
        <f t="shared" si="277"/>
        <v>0</v>
      </c>
      <c r="AD294" s="2">
        <f t="shared" si="277"/>
        <v>0</v>
      </c>
      <c r="AE294" s="2">
        <f t="shared" si="277"/>
        <v>0</v>
      </c>
      <c r="AF294" s="2">
        <f t="shared" si="277"/>
        <v>0</v>
      </c>
      <c r="AG294" s="2">
        <f t="shared" si="277"/>
        <v>0</v>
      </c>
      <c r="AH294" s="2">
        <f t="shared" si="277"/>
        <v>0</v>
      </c>
      <c r="AI294" s="2">
        <f t="shared" si="277"/>
        <v>0</v>
      </c>
      <c r="AJ294" s="2">
        <f t="shared" si="277"/>
        <v>0</v>
      </c>
      <c r="AK294" s="2">
        <f t="shared" si="277"/>
        <v>0</v>
      </c>
      <c r="AL294" s="2">
        <f t="shared" si="277"/>
        <v>0</v>
      </c>
      <c r="AM294" s="2">
        <f t="shared" si="277"/>
        <v>0</v>
      </c>
      <c r="AN294" s="2">
        <f t="shared" si="277"/>
        <v>0</v>
      </c>
      <c r="AO294" s="2">
        <f t="shared" si="277"/>
        <v>0</v>
      </c>
      <c r="AP294" s="2">
        <f t="shared" si="277"/>
        <v>0</v>
      </c>
      <c r="AQ294" s="2">
        <f t="shared" si="277"/>
        <v>0</v>
      </c>
      <c r="AR294" s="2">
        <f t="shared" si="277"/>
        <v>927816.52</v>
      </c>
      <c r="AS294" s="2">
        <f t="shared" si="277"/>
        <v>0</v>
      </c>
      <c r="AT294" s="2">
        <f t="shared" si="277"/>
        <v>0</v>
      </c>
      <c r="AU294" s="2">
        <f t="shared" ref="AU294:BZ294" si="278">AU564</f>
        <v>927816.52</v>
      </c>
      <c r="AV294" s="2">
        <f t="shared" si="278"/>
        <v>5966.26</v>
      </c>
      <c r="AW294" s="2">
        <f t="shared" si="278"/>
        <v>5966.26</v>
      </c>
      <c r="AX294" s="2">
        <f t="shared" si="278"/>
        <v>0</v>
      </c>
      <c r="AY294" s="2">
        <f t="shared" si="278"/>
        <v>5966.26</v>
      </c>
      <c r="AZ294" s="2">
        <f t="shared" si="278"/>
        <v>0</v>
      </c>
      <c r="BA294" s="2">
        <f t="shared" si="278"/>
        <v>0</v>
      </c>
      <c r="BB294" s="2">
        <f t="shared" si="278"/>
        <v>0</v>
      </c>
      <c r="BC294" s="2">
        <f t="shared" si="278"/>
        <v>0</v>
      </c>
      <c r="BD294" s="2">
        <f t="shared" si="278"/>
        <v>0</v>
      </c>
      <c r="BE294" s="2">
        <f t="shared" si="278"/>
        <v>0</v>
      </c>
      <c r="BF294" s="2">
        <f t="shared" si="278"/>
        <v>0</v>
      </c>
      <c r="BG294" s="2">
        <f t="shared" si="278"/>
        <v>0</v>
      </c>
      <c r="BH294" s="2">
        <f t="shared" si="278"/>
        <v>0</v>
      </c>
      <c r="BI294" s="2">
        <f t="shared" si="278"/>
        <v>0</v>
      </c>
      <c r="BJ294" s="2">
        <f t="shared" si="278"/>
        <v>0</v>
      </c>
      <c r="BK294" s="2">
        <f t="shared" si="278"/>
        <v>0</v>
      </c>
      <c r="BL294" s="2">
        <f t="shared" si="278"/>
        <v>0</v>
      </c>
      <c r="BM294" s="2">
        <f t="shared" si="278"/>
        <v>0</v>
      </c>
      <c r="BN294" s="2">
        <f t="shared" si="278"/>
        <v>0</v>
      </c>
      <c r="BO294" s="2">
        <f t="shared" si="278"/>
        <v>0</v>
      </c>
      <c r="BP294" s="2">
        <f t="shared" si="278"/>
        <v>0</v>
      </c>
      <c r="BQ294" s="2">
        <f t="shared" si="278"/>
        <v>0</v>
      </c>
      <c r="BR294" s="2">
        <f t="shared" si="278"/>
        <v>0</v>
      </c>
      <c r="BS294" s="2">
        <f t="shared" si="278"/>
        <v>0</v>
      </c>
      <c r="BT294" s="2">
        <f t="shared" si="278"/>
        <v>0</v>
      </c>
      <c r="BU294" s="2">
        <f t="shared" si="278"/>
        <v>0</v>
      </c>
      <c r="BV294" s="2">
        <f t="shared" si="278"/>
        <v>0</v>
      </c>
      <c r="BW294" s="2">
        <f t="shared" si="278"/>
        <v>0</v>
      </c>
      <c r="BX294" s="2">
        <f t="shared" si="278"/>
        <v>0</v>
      </c>
      <c r="BY294" s="2">
        <f t="shared" si="278"/>
        <v>0</v>
      </c>
      <c r="BZ294" s="2">
        <f t="shared" si="278"/>
        <v>0</v>
      </c>
      <c r="CA294" s="2">
        <f t="shared" ref="CA294:DF294" si="279">CA564</f>
        <v>0</v>
      </c>
      <c r="CB294" s="2">
        <f t="shared" si="279"/>
        <v>0</v>
      </c>
      <c r="CC294" s="2">
        <f t="shared" si="279"/>
        <v>0</v>
      </c>
      <c r="CD294" s="2">
        <f t="shared" si="279"/>
        <v>0</v>
      </c>
      <c r="CE294" s="2">
        <f t="shared" si="279"/>
        <v>0</v>
      </c>
      <c r="CF294" s="2">
        <f t="shared" si="279"/>
        <v>0</v>
      </c>
      <c r="CG294" s="2">
        <f t="shared" si="279"/>
        <v>0</v>
      </c>
      <c r="CH294" s="2">
        <f t="shared" si="279"/>
        <v>0</v>
      </c>
      <c r="CI294" s="2">
        <f t="shared" si="279"/>
        <v>0</v>
      </c>
      <c r="CJ294" s="2">
        <f t="shared" si="279"/>
        <v>0</v>
      </c>
      <c r="CK294" s="2">
        <f t="shared" si="279"/>
        <v>0</v>
      </c>
      <c r="CL294" s="2">
        <f t="shared" si="279"/>
        <v>0</v>
      </c>
      <c r="CM294" s="2">
        <f t="shared" si="279"/>
        <v>0</v>
      </c>
      <c r="CN294" s="2">
        <f t="shared" si="279"/>
        <v>0</v>
      </c>
      <c r="CO294" s="2">
        <f t="shared" si="279"/>
        <v>0</v>
      </c>
      <c r="CP294" s="2">
        <f t="shared" si="279"/>
        <v>0</v>
      </c>
      <c r="CQ294" s="2">
        <f t="shared" si="279"/>
        <v>0</v>
      </c>
      <c r="CR294" s="2">
        <f t="shared" si="279"/>
        <v>0</v>
      </c>
      <c r="CS294" s="2">
        <f t="shared" si="279"/>
        <v>0</v>
      </c>
      <c r="CT294" s="2">
        <f t="shared" si="279"/>
        <v>0</v>
      </c>
      <c r="CU294" s="2">
        <f t="shared" si="279"/>
        <v>0</v>
      </c>
      <c r="CV294" s="2">
        <f t="shared" si="279"/>
        <v>0</v>
      </c>
      <c r="CW294" s="2">
        <f t="shared" si="279"/>
        <v>0</v>
      </c>
      <c r="CX294" s="2">
        <f t="shared" si="279"/>
        <v>0</v>
      </c>
      <c r="CY294" s="2">
        <f t="shared" si="279"/>
        <v>0</v>
      </c>
      <c r="CZ294" s="2">
        <f t="shared" si="279"/>
        <v>0</v>
      </c>
      <c r="DA294" s="2">
        <f t="shared" si="279"/>
        <v>0</v>
      </c>
      <c r="DB294" s="2">
        <f t="shared" si="279"/>
        <v>0</v>
      </c>
      <c r="DC294" s="2">
        <f t="shared" si="279"/>
        <v>0</v>
      </c>
      <c r="DD294" s="2">
        <f t="shared" si="279"/>
        <v>0</v>
      </c>
      <c r="DE294" s="2">
        <f t="shared" si="279"/>
        <v>0</v>
      </c>
      <c r="DF294" s="2">
        <f t="shared" si="279"/>
        <v>0</v>
      </c>
      <c r="DG294" s="3">
        <f t="shared" ref="DG294:EL294" si="280">DG564</f>
        <v>0</v>
      </c>
      <c r="DH294" s="3">
        <f t="shared" si="280"/>
        <v>0</v>
      </c>
      <c r="DI294" s="3">
        <f t="shared" si="280"/>
        <v>0</v>
      </c>
      <c r="DJ294" s="3">
        <f t="shared" si="280"/>
        <v>0</v>
      </c>
      <c r="DK294" s="3">
        <f t="shared" si="280"/>
        <v>0</v>
      </c>
      <c r="DL294" s="3">
        <f t="shared" si="280"/>
        <v>0</v>
      </c>
      <c r="DM294" s="3">
        <f t="shared" si="280"/>
        <v>0</v>
      </c>
      <c r="DN294" s="3">
        <f t="shared" si="280"/>
        <v>0</v>
      </c>
      <c r="DO294" s="3">
        <f t="shared" si="280"/>
        <v>0</v>
      </c>
      <c r="DP294" s="3">
        <f t="shared" si="280"/>
        <v>0</v>
      </c>
      <c r="DQ294" s="3">
        <f t="shared" si="280"/>
        <v>0</v>
      </c>
      <c r="DR294" s="3">
        <f t="shared" si="280"/>
        <v>0</v>
      </c>
      <c r="DS294" s="3">
        <f t="shared" si="280"/>
        <v>0</v>
      </c>
      <c r="DT294" s="3">
        <f t="shared" si="280"/>
        <v>0</v>
      </c>
      <c r="DU294" s="3">
        <f t="shared" si="280"/>
        <v>0</v>
      </c>
      <c r="DV294" s="3">
        <f t="shared" si="280"/>
        <v>0</v>
      </c>
      <c r="DW294" s="3">
        <f t="shared" si="280"/>
        <v>0</v>
      </c>
      <c r="DX294" s="3">
        <f t="shared" si="280"/>
        <v>0</v>
      </c>
      <c r="DY294" s="3">
        <f t="shared" si="280"/>
        <v>0</v>
      </c>
      <c r="DZ294" s="3">
        <f t="shared" si="280"/>
        <v>0</v>
      </c>
      <c r="EA294" s="3">
        <f t="shared" si="280"/>
        <v>0</v>
      </c>
      <c r="EB294" s="3">
        <f t="shared" si="280"/>
        <v>0</v>
      </c>
      <c r="EC294" s="3">
        <f t="shared" si="280"/>
        <v>0</v>
      </c>
      <c r="ED294" s="3">
        <f t="shared" si="280"/>
        <v>0</v>
      </c>
      <c r="EE294" s="3">
        <f t="shared" si="280"/>
        <v>0</v>
      </c>
      <c r="EF294" s="3">
        <f t="shared" si="280"/>
        <v>0</v>
      </c>
      <c r="EG294" s="3">
        <f t="shared" si="280"/>
        <v>0</v>
      </c>
      <c r="EH294" s="3">
        <f t="shared" si="280"/>
        <v>0</v>
      </c>
      <c r="EI294" s="3">
        <f t="shared" si="280"/>
        <v>0</v>
      </c>
      <c r="EJ294" s="3">
        <f t="shared" si="280"/>
        <v>0</v>
      </c>
      <c r="EK294" s="3">
        <f t="shared" si="280"/>
        <v>0</v>
      </c>
      <c r="EL294" s="3">
        <f t="shared" si="280"/>
        <v>0</v>
      </c>
      <c r="EM294" s="3">
        <f t="shared" ref="EM294:FR294" si="281">EM564</f>
        <v>0</v>
      </c>
      <c r="EN294" s="3">
        <f t="shared" si="281"/>
        <v>0</v>
      </c>
      <c r="EO294" s="3">
        <f t="shared" si="281"/>
        <v>0</v>
      </c>
      <c r="EP294" s="3">
        <f t="shared" si="281"/>
        <v>0</v>
      </c>
      <c r="EQ294" s="3">
        <f t="shared" si="281"/>
        <v>0</v>
      </c>
      <c r="ER294" s="3">
        <f t="shared" si="281"/>
        <v>0</v>
      </c>
      <c r="ES294" s="3">
        <f t="shared" si="281"/>
        <v>0</v>
      </c>
      <c r="ET294" s="3">
        <f t="shared" si="281"/>
        <v>0</v>
      </c>
      <c r="EU294" s="3">
        <f t="shared" si="281"/>
        <v>0</v>
      </c>
      <c r="EV294" s="3">
        <f t="shared" si="281"/>
        <v>0</v>
      </c>
      <c r="EW294" s="3">
        <f t="shared" si="281"/>
        <v>0</v>
      </c>
      <c r="EX294" s="3">
        <f t="shared" si="281"/>
        <v>0</v>
      </c>
      <c r="EY294" s="3">
        <f t="shared" si="281"/>
        <v>0</v>
      </c>
      <c r="EZ294" s="3">
        <f t="shared" si="281"/>
        <v>0</v>
      </c>
      <c r="FA294" s="3">
        <f t="shared" si="281"/>
        <v>0</v>
      </c>
      <c r="FB294" s="3">
        <f t="shared" si="281"/>
        <v>0</v>
      </c>
      <c r="FC294" s="3">
        <f t="shared" si="281"/>
        <v>0</v>
      </c>
      <c r="FD294" s="3">
        <f t="shared" si="281"/>
        <v>0</v>
      </c>
      <c r="FE294" s="3">
        <f t="shared" si="281"/>
        <v>0</v>
      </c>
      <c r="FF294" s="3">
        <f t="shared" si="281"/>
        <v>0</v>
      </c>
      <c r="FG294" s="3">
        <f t="shared" si="281"/>
        <v>0</v>
      </c>
      <c r="FH294" s="3">
        <f t="shared" si="281"/>
        <v>0</v>
      </c>
      <c r="FI294" s="3">
        <f t="shared" si="281"/>
        <v>0</v>
      </c>
      <c r="FJ294" s="3">
        <f t="shared" si="281"/>
        <v>0</v>
      </c>
      <c r="FK294" s="3">
        <f t="shared" si="281"/>
        <v>0</v>
      </c>
      <c r="FL294" s="3">
        <f t="shared" si="281"/>
        <v>0</v>
      </c>
      <c r="FM294" s="3">
        <f t="shared" si="281"/>
        <v>0</v>
      </c>
      <c r="FN294" s="3">
        <f t="shared" si="281"/>
        <v>0</v>
      </c>
      <c r="FO294" s="3">
        <f t="shared" si="281"/>
        <v>0</v>
      </c>
      <c r="FP294" s="3">
        <f t="shared" si="281"/>
        <v>0</v>
      </c>
      <c r="FQ294" s="3">
        <f t="shared" si="281"/>
        <v>0</v>
      </c>
      <c r="FR294" s="3">
        <f t="shared" si="281"/>
        <v>0</v>
      </c>
      <c r="FS294" s="3">
        <f t="shared" ref="FS294:GX294" si="282">FS564</f>
        <v>0</v>
      </c>
      <c r="FT294" s="3">
        <f t="shared" si="282"/>
        <v>0</v>
      </c>
      <c r="FU294" s="3">
        <f t="shared" si="282"/>
        <v>0</v>
      </c>
      <c r="FV294" s="3">
        <f t="shared" si="282"/>
        <v>0</v>
      </c>
      <c r="FW294" s="3">
        <f t="shared" si="282"/>
        <v>0</v>
      </c>
      <c r="FX294" s="3">
        <f t="shared" si="282"/>
        <v>0</v>
      </c>
      <c r="FY294" s="3">
        <f t="shared" si="282"/>
        <v>0</v>
      </c>
      <c r="FZ294" s="3">
        <f t="shared" si="282"/>
        <v>0</v>
      </c>
      <c r="GA294" s="3">
        <f t="shared" si="282"/>
        <v>0</v>
      </c>
      <c r="GB294" s="3">
        <f t="shared" si="282"/>
        <v>0</v>
      </c>
      <c r="GC294" s="3">
        <f t="shared" si="282"/>
        <v>0</v>
      </c>
      <c r="GD294" s="3">
        <f t="shared" si="282"/>
        <v>0</v>
      </c>
      <c r="GE294" s="3">
        <f t="shared" si="282"/>
        <v>0</v>
      </c>
      <c r="GF294" s="3">
        <f t="shared" si="282"/>
        <v>0</v>
      </c>
      <c r="GG294" s="3">
        <f t="shared" si="282"/>
        <v>0</v>
      </c>
      <c r="GH294" s="3">
        <f t="shared" si="282"/>
        <v>0</v>
      </c>
      <c r="GI294" s="3">
        <f t="shared" si="282"/>
        <v>0</v>
      </c>
      <c r="GJ294" s="3">
        <f t="shared" si="282"/>
        <v>0</v>
      </c>
      <c r="GK294" s="3">
        <f t="shared" si="282"/>
        <v>0</v>
      </c>
      <c r="GL294" s="3">
        <f t="shared" si="282"/>
        <v>0</v>
      </c>
      <c r="GM294" s="3">
        <f t="shared" si="282"/>
        <v>0</v>
      </c>
      <c r="GN294" s="3">
        <f t="shared" si="282"/>
        <v>0</v>
      </c>
      <c r="GO294" s="3">
        <f t="shared" si="282"/>
        <v>0</v>
      </c>
      <c r="GP294" s="3">
        <f t="shared" si="282"/>
        <v>0</v>
      </c>
      <c r="GQ294" s="3">
        <f t="shared" si="282"/>
        <v>0</v>
      </c>
      <c r="GR294" s="3">
        <f t="shared" si="282"/>
        <v>0</v>
      </c>
      <c r="GS294" s="3">
        <f t="shared" si="282"/>
        <v>0</v>
      </c>
      <c r="GT294" s="3">
        <f t="shared" si="282"/>
        <v>0</v>
      </c>
      <c r="GU294" s="3">
        <f t="shared" si="282"/>
        <v>0</v>
      </c>
      <c r="GV294" s="3">
        <f t="shared" si="282"/>
        <v>0</v>
      </c>
      <c r="GW294" s="3">
        <f t="shared" si="282"/>
        <v>0</v>
      </c>
      <c r="GX294" s="3">
        <f t="shared" si="282"/>
        <v>0</v>
      </c>
    </row>
    <row r="296" spans="1:245" x14ac:dyDescent="0.2">
      <c r="A296" s="1">
        <v>5</v>
      </c>
      <c r="B296" s="1">
        <v>1</v>
      </c>
      <c r="C296" s="1"/>
      <c r="D296" s="1">
        <f>ROW(A319)</f>
        <v>319</v>
      </c>
      <c r="E296" s="1"/>
      <c r="F296" s="1" t="s">
        <v>100</v>
      </c>
      <c r="G296" s="1" t="s">
        <v>317</v>
      </c>
      <c r="H296" s="1" t="s">
        <v>3</v>
      </c>
      <c r="I296" s="1">
        <v>0</v>
      </c>
      <c r="J296" s="1"/>
      <c r="K296" s="1">
        <v>0</v>
      </c>
      <c r="L296" s="1"/>
      <c r="M296" s="1" t="s">
        <v>3</v>
      </c>
      <c r="N296" s="1"/>
      <c r="O296" s="1"/>
      <c r="P296" s="1"/>
      <c r="Q296" s="1"/>
      <c r="R296" s="1"/>
      <c r="S296" s="1">
        <v>0</v>
      </c>
      <c r="T296" s="1"/>
      <c r="U296" s="1" t="s">
        <v>3</v>
      </c>
      <c r="V296" s="1">
        <v>0</v>
      </c>
      <c r="W296" s="1"/>
      <c r="X296" s="1"/>
      <c r="Y296" s="1"/>
      <c r="Z296" s="1"/>
      <c r="AA296" s="1"/>
      <c r="AB296" s="1" t="s">
        <v>3</v>
      </c>
      <c r="AC296" s="1" t="s">
        <v>3</v>
      </c>
      <c r="AD296" s="1" t="s">
        <v>3</v>
      </c>
      <c r="AE296" s="1" t="s">
        <v>3</v>
      </c>
      <c r="AF296" s="1" t="s">
        <v>3</v>
      </c>
      <c r="AG296" s="1" t="s">
        <v>3</v>
      </c>
      <c r="AH296" s="1"/>
      <c r="AI296" s="1"/>
      <c r="AJ296" s="1"/>
      <c r="AK296" s="1"/>
      <c r="AL296" s="1"/>
      <c r="AM296" s="1"/>
      <c r="AN296" s="1"/>
      <c r="AO296" s="1"/>
      <c r="AP296" s="1" t="s">
        <v>3</v>
      </c>
      <c r="AQ296" s="1" t="s">
        <v>3</v>
      </c>
      <c r="AR296" s="1" t="s">
        <v>3</v>
      </c>
      <c r="AS296" s="1"/>
      <c r="AT296" s="1"/>
      <c r="AU296" s="1"/>
      <c r="AV296" s="1"/>
      <c r="AW296" s="1"/>
      <c r="AX296" s="1"/>
      <c r="AY296" s="1"/>
      <c r="AZ296" s="1" t="s">
        <v>3</v>
      </c>
      <c r="BA296" s="1"/>
      <c r="BB296" s="1" t="s">
        <v>3</v>
      </c>
      <c r="BC296" s="1" t="s">
        <v>3</v>
      </c>
      <c r="BD296" s="1" t="s">
        <v>3</v>
      </c>
      <c r="BE296" s="1" t="s">
        <v>3</v>
      </c>
      <c r="BF296" s="1" t="s">
        <v>3</v>
      </c>
      <c r="BG296" s="1" t="s">
        <v>3</v>
      </c>
      <c r="BH296" s="1" t="s">
        <v>3</v>
      </c>
      <c r="BI296" s="1" t="s">
        <v>3</v>
      </c>
      <c r="BJ296" s="1" t="s">
        <v>3</v>
      </c>
      <c r="BK296" s="1" t="s">
        <v>3</v>
      </c>
      <c r="BL296" s="1" t="s">
        <v>3</v>
      </c>
      <c r="BM296" s="1" t="s">
        <v>3</v>
      </c>
      <c r="BN296" s="1" t="s">
        <v>3</v>
      </c>
      <c r="BO296" s="1" t="s">
        <v>3</v>
      </c>
      <c r="BP296" s="1" t="s">
        <v>3</v>
      </c>
      <c r="BQ296" s="1"/>
      <c r="BR296" s="1"/>
      <c r="BS296" s="1"/>
      <c r="BT296" s="1"/>
      <c r="BU296" s="1"/>
      <c r="BV296" s="1"/>
      <c r="BW296" s="1"/>
      <c r="BX296" s="1">
        <v>0</v>
      </c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>
        <v>0</v>
      </c>
    </row>
    <row r="298" spans="1:245" x14ac:dyDescent="0.2">
      <c r="A298" s="2">
        <v>52</v>
      </c>
      <c r="B298" s="2">
        <f t="shared" ref="B298:G298" si="283">B319</f>
        <v>1</v>
      </c>
      <c r="C298" s="2">
        <f t="shared" si="283"/>
        <v>5</v>
      </c>
      <c r="D298" s="2">
        <f t="shared" si="283"/>
        <v>296</v>
      </c>
      <c r="E298" s="2">
        <f t="shared" si="283"/>
        <v>0</v>
      </c>
      <c r="F298" s="2" t="str">
        <f t="shared" si="283"/>
        <v>Новый подраздел</v>
      </c>
      <c r="G298" s="2" t="str">
        <f t="shared" si="283"/>
        <v>4.1 Электроосвещение и электрооборудование</v>
      </c>
      <c r="H298" s="2"/>
      <c r="I298" s="2"/>
      <c r="J298" s="2"/>
      <c r="K298" s="2"/>
      <c r="L298" s="2"/>
      <c r="M298" s="2"/>
      <c r="N298" s="2"/>
      <c r="O298" s="2">
        <f t="shared" ref="O298:AT298" si="284">O319</f>
        <v>50740.49</v>
      </c>
      <c r="P298" s="2">
        <f t="shared" si="284"/>
        <v>806.36</v>
      </c>
      <c r="Q298" s="2">
        <f t="shared" si="284"/>
        <v>0</v>
      </c>
      <c r="R298" s="2">
        <f t="shared" si="284"/>
        <v>0</v>
      </c>
      <c r="S298" s="2">
        <f t="shared" si="284"/>
        <v>49934.13</v>
      </c>
      <c r="T298" s="2">
        <f t="shared" si="284"/>
        <v>0</v>
      </c>
      <c r="U298" s="2">
        <f t="shared" si="284"/>
        <v>80.919999999999987</v>
      </c>
      <c r="V298" s="2">
        <f t="shared" si="284"/>
        <v>0</v>
      </c>
      <c r="W298" s="2">
        <f t="shared" si="284"/>
        <v>0</v>
      </c>
      <c r="X298" s="2">
        <f t="shared" si="284"/>
        <v>34953.89</v>
      </c>
      <c r="Y298" s="2">
        <f t="shared" si="284"/>
        <v>4993.42</v>
      </c>
      <c r="Z298" s="2">
        <f t="shared" si="284"/>
        <v>0</v>
      </c>
      <c r="AA298" s="2">
        <f t="shared" si="284"/>
        <v>0</v>
      </c>
      <c r="AB298" s="2">
        <f t="shared" si="284"/>
        <v>50740.49</v>
      </c>
      <c r="AC298" s="2">
        <f t="shared" si="284"/>
        <v>806.36</v>
      </c>
      <c r="AD298" s="2">
        <f t="shared" si="284"/>
        <v>0</v>
      </c>
      <c r="AE298" s="2">
        <f t="shared" si="284"/>
        <v>0</v>
      </c>
      <c r="AF298" s="2">
        <f t="shared" si="284"/>
        <v>49934.13</v>
      </c>
      <c r="AG298" s="2">
        <f t="shared" si="284"/>
        <v>0</v>
      </c>
      <c r="AH298" s="2">
        <f t="shared" si="284"/>
        <v>80.919999999999987</v>
      </c>
      <c r="AI298" s="2">
        <f t="shared" si="284"/>
        <v>0</v>
      </c>
      <c r="AJ298" s="2">
        <f t="shared" si="284"/>
        <v>0</v>
      </c>
      <c r="AK298" s="2">
        <f t="shared" si="284"/>
        <v>34953.89</v>
      </c>
      <c r="AL298" s="2">
        <f t="shared" si="284"/>
        <v>4993.42</v>
      </c>
      <c r="AM298" s="2">
        <f t="shared" si="284"/>
        <v>0</v>
      </c>
      <c r="AN298" s="2">
        <f t="shared" si="284"/>
        <v>0</v>
      </c>
      <c r="AO298" s="2">
        <f t="shared" si="284"/>
        <v>0</v>
      </c>
      <c r="AP298" s="2">
        <f t="shared" si="284"/>
        <v>0</v>
      </c>
      <c r="AQ298" s="2">
        <f t="shared" si="284"/>
        <v>0</v>
      </c>
      <c r="AR298" s="2">
        <f t="shared" si="284"/>
        <v>90687.8</v>
      </c>
      <c r="AS298" s="2">
        <f t="shared" si="284"/>
        <v>0</v>
      </c>
      <c r="AT298" s="2">
        <f t="shared" si="284"/>
        <v>0</v>
      </c>
      <c r="AU298" s="2">
        <f t="shared" ref="AU298:BZ298" si="285">AU319</f>
        <v>90687.8</v>
      </c>
      <c r="AV298" s="2">
        <f t="shared" si="285"/>
        <v>806.36</v>
      </c>
      <c r="AW298" s="2">
        <f t="shared" si="285"/>
        <v>806.36</v>
      </c>
      <c r="AX298" s="2">
        <f t="shared" si="285"/>
        <v>0</v>
      </c>
      <c r="AY298" s="2">
        <f t="shared" si="285"/>
        <v>806.36</v>
      </c>
      <c r="AZ298" s="2">
        <f t="shared" si="285"/>
        <v>0</v>
      </c>
      <c r="BA298" s="2">
        <f t="shared" si="285"/>
        <v>0</v>
      </c>
      <c r="BB298" s="2">
        <f t="shared" si="285"/>
        <v>0</v>
      </c>
      <c r="BC298" s="2">
        <f t="shared" si="285"/>
        <v>0</v>
      </c>
      <c r="BD298" s="2">
        <f t="shared" si="285"/>
        <v>0</v>
      </c>
      <c r="BE298" s="2">
        <f t="shared" si="285"/>
        <v>0</v>
      </c>
      <c r="BF298" s="2">
        <f t="shared" si="285"/>
        <v>0</v>
      </c>
      <c r="BG298" s="2">
        <f t="shared" si="285"/>
        <v>0</v>
      </c>
      <c r="BH298" s="2">
        <f t="shared" si="285"/>
        <v>0</v>
      </c>
      <c r="BI298" s="2">
        <f t="shared" si="285"/>
        <v>0</v>
      </c>
      <c r="BJ298" s="2">
        <f t="shared" si="285"/>
        <v>0</v>
      </c>
      <c r="BK298" s="2">
        <f t="shared" si="285"/>
        <v>0</v>
      </c>
      <c r="BL298" s="2">
        <f t="shared" si="285"/>
        <v>0</v>
      </c>
      <c r="BM298" s="2">
        <f t="shared" si="285"/>
        <v>0</v>
      </c>
      <c r="BN298" s="2">
        <f t="shared" si="285"/>
        <v>0</v>
      </c>
      <c r="BO298" s="2">
        <f t="shared" si="285"/>
        <v>0</v>
      </c>
      <c r="BP298" s="2">
        <f t="shared" si="285"/>
        <v>0</v>
      </c>
      <c r="BQ298" s="2">
        <f t="shared" si="285"/>
        <v>0</v>
      </c>
      <c r="BR298" s="2">
        <f t="shared" si="285"/>
        <v>0</v>
      </c>
      <c r="BS298" s="2">
        <f t="shared" si="285"/>
        <v>0</v>
      </c>
      <c r="BT298" s="2">
        <f t="shared" si="285"/>
        <v>0</v>
      </c>
      <c r="BU298" s="2">
        <f t="shared" si="285"/>
        <v>0</v>
      </c>
      <c r="BV298" s="2">
        <f t="shared" si="285"/>
        <v>0</v>
      </c>
      <c r="BW298" s="2">
        <f t="shared" si="285"/>
        <v>0</v>
      </c>
      <c r="BX298" s="2">
        <f t="shared" si="285"/>
        <v>0</v>
      </c>
      <c r="BY298" s="2">
        <f t="shared" si="285"/>
        <v>0</v>
      </c>
      <c r="BZ298" s="2">
        <f t="shared" si="285"/>
        <v>0</v>
      </c>
      <c r="CA298" s="2">
        <f t="shared" ref="CA298:DF298" si="286">CA319</f>
        <v>90687.8</v>
      </c>
      <c r="CB298" s="2">
        <f t="shared" si="286"/>
        <v>0</v>
      </c>
      <c r="CC298" s="2">
        <f t="shared" si="286"/>
        <v>0</v>
      </c>
      <c r="CD298" s="2">
        <f t="shared" si="286"/>
        <v>90687.8</v>
      </c>
      <c r="CE298" s="2">
        <f t="shared" si="286"/>
        <v>806.36</v>
      </c>
      <c r="CF298" s="2">
        <f t="shared" si="286"/>
        <v>806.36</v>
      </c>
      <c r="CG298" s="2">
        <f t="shared" si="286"/>
        <v>0</v>
      </c>
      <c r="CH298" s="2">
        <f t="shared" si="286"/>
        <v>806.36</v>
      </c>
      <c r="CI298" s="2">
        <f t="shared" si="286"/>
        <v>0</v>
      </c>
      <c r="CJ298" s="2">
        <f t="shared" si="286"/>
        <v>0</v>
      </c>
      <c r="CK298" s="2">
        <f t="shared" si="286"/>
        <v>0</v>
      </c>
      <c r="CL298" s="2">
        <f t="shared" si="286"/>
        <v>0</v>
      </c>
      <c r="CM298" s="2">
        <f t="shared" si="286"/>
        <v>0</v>
      </c>
      <c r="CN298" s="2">
        <f t="shared" si="286"/>
        <v>0</v>
      </c>
      <c r="CO298" s="2">
        <f t="shared" si="286"/>
        <v>0</v>
      </c>
      <c r="CP298" s="2">
        <f t="shared" si="286"/>
        <v>0</v>
      </c>
      <c r="CQ298" s="2">
        <f t="shared" si="286"/>
        <v>0</v>
      </c>
      <c r="CR298" s="2">
        <f t="shared" si="286"/>
        <v>0</v>
      </c>
      <c r="CS298" s="2">
        <f t="shared" si="286"/>
        <v>0</v>
      </c>
      <c r="CT298" s="2">
        <f t="shared" si="286"/>
        <v>0</v>
      </c>
      <c r="CU298" s="2">
        <f t="shared" si="286"/>
        <v>0</v>
      </c>
      <c r="CV298" s="2">
        <f t="shared" si="286"/>
        <v>0</v>
      </c>
      <c r="CW298" s="2">
        <f t="shared" si="286"/>
        <v>0</v>
      </c>
      <c r="CX298" s="2">
        <f t="shared" si="286"/>
        <v>0</v>
      </c>
      <c r="CY298" s="2">
        <f t="shared" si="286"/>
        <v>0</v>
      </c>
      <c r="CZ298" s="2">
        <f t="shared" si="286"/>
        <v>0</v>
      </c>
      <c r="DA298" s="2">
        <f t="shared" si="286"/>
        <v>0</v>
      </c>
      <c r="DB298" s="2">
        <f t="shared" si="286"/>
        <v>0</v>
      </c>
      <c r="DC298" s="2">
        <f t="shared" si="286"/>
        <v>0</v>
      </c>
      <c r="DD298" s="2">
        <f t="shared" si="286"/>
        <v>0</v>
      </c>
      <c r="DE298" s="2">
        <f t="shared" si="286"/>
        <v>0</v>
      </c>
      <c r="DF298" s="2">
        <f t="shared" si="286"/>
        <v>0</v>
      </c>
      <c r="DG298" s="3">
        <f t="shared" ref="DG298:EL298" si="287">DG319</f>
        <v>0</v>
      </c>
      <c r="DH298" s="3">
        <f t="shared" si="287"/>
        <v>0</v>
      </c>
      <c r="DI298" s="3">
        <f t="shared" si="287"/>
        <v>0</v>
      </c>
      <c r="DJ298" s="3">
        <f t="shared" si="287"/>
        <v>0</v>
      </c>
      <c r="DK298" s="3">
        <f t="shared" si="287"/>
        <v>0</v>
      </c>
      <c r="DL298" s="3">
        <f t="shared" si="287"/>
        <v>0</v>
      </c>
      <c r="DM298" s="3">
        <f t="shared" si="287"/>
        <v>0</v>
      </c>
      <c r="DN298" s="3">
        <f t="shared" si="287"/>
        <v>0</v>
      </c>
      <c r="DO298" s="3">
        <f t="shared" si="287"/>
        <v>0</v>
      </c>
      <c r="DP298" s="3">
        <f t="shared" si="287"/>
        <v>0</v>
      </c>
      <c r="DQ298" s="3">
        <f t="shared" si="287"/>
        <v>0</v>
      </c>
      <c r="DR298" s="3">
        <f t="shared" si="287"/>
        <v>0</v>
      </c>
      <c r="DS298" s="3">
        <f t="shared" si="287"/>
        <v>0</v>
      </c>
      <c r="DT298" s="3">
        <f t="shared" si="287"/>
        <v>0</v>
      </c>
      <c r="DU298" s="3">
        <f t="shared" si="287"/>
        <v>0</v>
      </c>
      <c r="DV298" s="3">
        <f t="shared" si="287"/>
        <v>0</v>
      </c>
      <c r="DW298" s="3">
        <f t="shared" si="287"/>
        <v>0</v>
      </c>
      <c r="DX298" s="3">
        <f t="shared" si="287"/>
        <v>0</v>
      </c>
      <c r="DY298" s="3">
        <f t="shared" si="287"/>
        <v>0</v>
      </c>
      <c r="DZ298" s="3">
        <f t="shared" si="287"/>
        <v>0</v>
      </c>
      <c r="EA298" s="3">
        <f t="shared" si="287"/>
        <v>0</v>
      </c>
      <c r="EB298" s="3">
        <f t="shared" si="287"/>
        <v>0</v>
      </c>
      <c r="EC298" s="3">
        <f t="shared" si="287"/>
        <v>0</v>
      </c>
      <c r="ED298" s="3">
        <f t="shared" si="287"/>
        <v>0</v>
      </c>
      <c r="EE298" s="3">
        <f t="shared" si="287"/>
        <v>0</v>
      </c>
      <c r="EF298" s="3">
        <f t="shared" si="287"/>
        <v>0</v>
      </c>
      <c r="EG298" s="3">
        <f t="shared" si="287"/>
        <v>0</v>
      </c>
      <c r="EH298" s="3">
        <f t="shared" si="287"/>
        <v>0</v>
      </c>
      <c r="EI298" s="3">
        <f t="shared" si="287"/>
        <v>0</v>
      </c>
      <c r="EJ298" s="3">
        <f t="shared" si="287"/>
        <v>0</v>
      </c>
      <c r="EK298" s="3">
        <f t="shared" si="287"/>
        <v>0</v>
      </c>
      <c r="EL298" s="3">
        <f t="shared" si="287"/>
        <v>0</v>
      </c>
      <c r="EM298" s="3">
        <f t="shared" ref="EM298:FR298" si="288">EM319</f>
        <v>0</v>
      </c>
      <c r="EN298" s="3">
        <f t="shared" si="288"/>
        <v>0</v>
      </c>
      <c r="EO298" s="3">
        <f t="shared" si="288"/>
        <v>0</v>
      </c>
      <c r="EP298" s="3">
        <f t="shared" si="288"/>
        <v>0</v>
      </c>
      <c r="EQ298" s="3">
        <f t="shared" si="288"/>
        <v>0</v>
      </c>
      <c r="ER298" s="3">
        <f t="shared" si="288"/>
        <v>0</v>
      </c>
      <c r="ES298" s="3">
        <f t="shared" si="288"/>
        <v>0</v>
      </c>
      <c r="ET298" s="3">
        <f t="shared" si="288"/>
        <v>0</v>
      </c>
      <c r="EU298" s="3">
        <f t="shared" si="288"/>
        <v>0</v>
      </c>
      <c r="EV298" s="3">
        <f t="shared" si="288"/>
        <v>0</v>
      </c>
      <c r="EW298" s="3">
        <f t="shared" si="288"/>
        <v>0</v>
      </c>
      <c r="EX298" s="3">
        <f t="shared" si="288"/>
        <v>0</v>
      </c>
      <c r="EY298" s="3">
        <f t="shared" si="288"/>
        <v>0</v>
      </c>
      <c r="EZ298" s="3">
        <f t="shared" si="288"/>
        <v>0</v>
      </c>
      <c r="FA298" s="3">
        <f t="shared" si="288"/>
        <v>0</v>
      </c>
      <c r="FB298" s="3">
        <f t="shared" si="288"/>
        <v>0</v>
      </c>
      <c r="FC298" s="3">
        <f t="shared" si="288"/>
        <v>0</v>
      </c>
      <c r="FD298" s="3">
        <f t="shared" si="288"/>
        <v>0</v>
      </c>
      <c r="FE298" s="3">
        <f t="shared" si="288"/>
        <v>0</v>
      </c>
      <c r="FF298" s="3">
        <f t="shared" si="288"/>
        <v>0</v>
      </c>
      <c r="FG298" s="3">
        <f t="shared" si="288"/>
        <v>0</v>
      </c>
      <c r="FH298" s="3">
        <f t="shared" si="288"/>
        <v>0</v>
      </c>
      <c r="FI298" s="3">
        <f t="shared" si="288"/>
        <v>0</v>
      </c>
      <c r="FJ298" s="3">
        <f t="shared" si="288"/>
        <v>0</v>
      </c>
      <c r="FK298" s="3">
        <f t="shared" si="288"/>
        <v>0</v>
      </c>
      <c r="FL298" s="3">
        <f t="shared" si="288"/>
        <v>0</v>
      </c>
      <c r="FM298" s="3">
        <f t="shared" si="288"/>
        <v>0</v>
      </c>
      <c r="FN298" s="3">
        <f t="shared" si="288"/>
        <v>0</v>
      </c>
      <c r="FO298" s="3">
        <f t="shared" si="288"/>
        <v>0</v>
      </c>
      <c r="FP298" s="3">
        <f t="shared" si="288"/>
        <v>0</v>
      </c>
      <c r="FQ298" s="3">
        <f t="shared" si="288"/>
        <v>0</v>
      </c>
      <c r="FR298" s="3">
        <f t="shared" si="288"/>
        <v>0</v>
      </c>
      <c r="FS298" s="3">
        <f t="shared" ref="FS298:GX298" si="289">FS319</f>
        <v>0</v>
      </c>
      <c r="FT298" s="3">
        <f t="shared" si="289"/>
        <v>0</v>
      </c>
      <c r="FU298" s="3">
        <f t="shared" si="289"/>
        <v>0</v>
      </c>
      <c r="FV298" s="3">
        <f t="shared" si="289"/>
        <v>0</v>
      </c>
      <c r="FW298" s="3">
        <f t="shared" si="289"/>
        <v>0</v>
      </c>
      <c r="FX298" s="3">
        <f t="shared" si="289"/>
        <v>0</v>
      </c>
      <c r="FY298" s="3">
        <f t="shared" si="289"/>
        <v>0</v>
      </c>
      <c r="FZ298" s="3">
        <f t="shared" si="289"/>
        <v>0</v>
      </c>
      <c r="GA298" s="3">
        <f t="shared" si="289"/>
        <v>0</v>
      </c>
      <c r="GB298" s="3">
        <f t="shared" si="289"/>
        <v>0</v>
      </c>
      <c r="GC298" s="3">
        <f t="shared" si="289"/>
        <v>0</v>
      </c>
      <c r="GD298" s="3">
        <f t="shared" si="289"/>
        <v>0</v>
      </c>
      <c r="GE298" s="3">
        <f t="shared" si="289"/>
        <v>0</v>
      </c>
      <c r="GF298" s="3">
        <f t="shared" si="289"/>
        <v>0</v>
      </c>
      <c r="GG298" s="3">
        <f t="shared" si="289"/>
        <v>0</v>
      </c>
      <c r="GH298" s="3">
        <f t="shared" si="289"/>
        <v>0</v>
      </c>
      <c r="GI298" s="3">
        <f t="shared" si="289"/>
        <v>0</v>
      </c>
      <c r="GJ298" s="3">
        <f t="shared" si="289"/>
        <v>0</v>
      </c>
      <c r="GK298" s="3">
        <f t="shared" si="289"/>
        <v>0</v>
      </c>
      <c r="GL298" s="3">
        <f t="shared" si="289"/>
        <v>0</v>
      </c>
      <c r="GM298" s="3">
        <f t="shared" si="289"/>
        <v>0</v>
      </c>
      <c r="GN298" s="3">
        <f t="shared" si="289"/>
        <v>0</v>
      </c>
      <c r="GO298" s="3">
        <f t="shared" si="289"/>
        <v>0</v>
      </c>
      <c r="GP298" s="3">
        <f t="shared" si="289"/>
        <v>0</v>
      </c>
      <c r="GQ298" s="3">
        <f t="shared" si="289"/>
        <v>0</v>
      </c>
      <c r="GR298" s="3">
        <f t="shared" si="289"/>
        <v>0</v>
      </c>
      <c r="GS298" s="3">
        <f t="shared" si="289"/>
        <v>0</v>
      </c>
      <c r="GT298" s="3">
        <f t="shared" si="289"/>
        <v>0</v>
      </c>
      <c r="GU298" s="3">
        <f t="shared" si="289"/>
        <v>0</v>
      </c>
      <c r="GV298" s="3">
        <f t="shared" si="289"/>
        <v>0</v>
      </c>
      <c r="GW298" s="3">
        <f t="shared" si="289"/>
        <v>0</v>
      </c>
      <c r="GX298" s="3">
        <f t="shared" si="289"/>
        <v>0</v>
      </c>
    </row>
    <row r="300" spans="1:245" x14ac:dyDescent="0.2">
      <c r="A300">
        <v>17</v>
      </c>
      <c r="B300">
        <v>1</v>
      </c>
      <c r="D300">
        <f>ROW(EtalonRes!A248)</f>
        <v>248</v>
      </c>
      <c r="E300" t="s">
        <v>318</v>
      </c>
      <c r="F300" t="s">
        <v>319</v>
      </c>
      <c r="G300" t="s">
        <v>320</v>
      </c>
      <c r="H300" t="s">
        <v>31</v>
      </c>
      <c r="I300">
        <v>2</v>
      </c>
      <c r="J300">
        <v>0</v>
      </c>
      <c r="K300">
        <v>2</v>
      </c>
      <c r="O300">
        <f t="shared" ref="O300:O317" si="290">ROUND(CP300,2)</f>
        <v>11268.98</v>
      </c>
      <c r="P300">
        <f t="shared" ref="P300:P317" si="291">ROUND(CQ300*I300,2)</f>
        <v>154.16</v>
      </c>
      <c r="Q300">
        <f t="shared" ref="Q300:Q317" si="292">ROUND(CR300*I300,2)</f>
        <v>0</v>
      </c>
      <c r="R300">
        <f t="shared" ref="R300:R317" si="293">ROUND(CS300*I300,2)</f>
        <v>0</v>
      </c>
      <c r="S300">
        <f t="shared" ref="S300:S317" si="294">ROUND(CT300*I300,2)</f>
        <v>11114.82</v>
      </c>
      <c r="T300">
        <f t="shared" ref="T300:T317" si="295">ROUND(CU300*I300,2)</f>
        <v>0</v>
      </c>
      <c r="U300">
        <f t="shared" ref="U300:U317" si="296">CV300*I300</f>
        <v>18</v>
      </c>
      <c r="V300">
        <f t="shared" ref="V300:V317" si="297">CW300*I300</f>
        <v>0</v>
      </c>
      <c r="W300">
        <f t="shared" ref="W300:W317" si="298">ROUND(CX300*I300,2)</f>
        <v>0</v>
      </c>
      <c r="X300">
        <f t="shared" ref="X300:X317" si="299">ROUND(CY300,2)</f>
        <v>7780.37</v>
      </c>
      <c r="Y300">
        <f t="shared" ref="Y300:Y317" si="300">ROUND(CZ300,2)</f>
        <v>1111.48</v>
      </c>
      <c r="AA300">
        <v>1471988752</v>
      </c>
      <c r="AB300">
        <f t="shared" ref="AB300:AB317" si="301">ROUND((AC300+AD300+AF300),6)</f>
        <v>5634.49</v>
      </c>
      <c r="AC300">
        <f>ROUND((ES300),6)</f>
        <v>77.08</v>
      </c>
      <c r="AD300">
        <f>ROUND((((ET300)-(EU300))+AE300),6)</f>
        <v>0</v>
      </c>
      <c r="AE300">
        <f>ROUND((EU300),6)</f>
        <v>0</v>
      </c>
      <c r="AF300">
        <f>ROUND((EV300),6)</f>
        <v>5557.41</v>
      </c>
      <c r="AG300">
        <f t="shared" ref="AG300:AG317" si="302">ROUND((AP300),6)</f>
        <v>0</v>
      </c>
      <c r="AH300">
        <f>(EW300)</f>
        <v>9</v>
      </c>
      <c r="AI300">
        <f>(EX300)</f>
        <v>0</v>
      </c>
      <c r="AJ300">
        <f t="shared" ref="AJ300:AJ317" si="303">(AS300)</f>
        <v>0</v>
      </c>
      <c r="AK300">
        <v>5634.49</v>
      </c>
      <c r="AL300">
        <v>77.08</v>
      </c>
      <c r="AM300">
        <v>0</v>
      </c>
      <c r="AN300">
        <v>0</v>
      </c>
      <c r="AO300">
        <v>5557.41</v>
      </c>
      <c r="AP300">
        <v>0</v>
      </c>
      <c r="AQ300">
        <v>9</v>
      </c>
      <c r="AR300">
        <v>0</v>
      </c>
      <c r="AS300">
        <v>0</v>
      </c>
      <c r="AT300">
        <v>70</v>
      </c>
      <c r="AU300">
        <v>10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321</v>
      </c>
      <c r="BM300">
        <v>0</v>
      </c>
      <c r="BN300">
        <v>0</v>
      </c>
      <c r="BO300" t="s">
        <v>3</v>
      </c>
      <c r="BP300">
        <v>0</v>
      </c>
      <c r="BQ300">
        <v>1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70</v>
      </c>
      <c r="CA300">
        <v>10</v>
      </c>
      <c r="CB300" t="s">
        <v>3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 t="shared" ref="CP300:CP317" si="304">(P300+Q300+S300)</f>
        <v>11268.98</v>
      </c>
      <c r="CQ300">
        <f t="shared" ref="CQ300:CQ317" si="305">(AC300*BC300*AW300)</f>
        <v>77.08</v>
      </c>
      <c r="CR300">
        <f>((((ET300)*BB300-(EU300)*BS300)+AE300*BS300)*AV300)</f>
        <v>0</v>
      </c>
      <c r="CS300">
        <f t="shared" ref="CS300:CS317" si="306">(AE300*BS300*AV300)</f>
        <v>0</v>
      </c>
      <c r="CT300">
        <f t="shared" ref="CT300:CT317" si="307">(AF300*BA300*AV300)</f>
        <v>5557.41</v>
      </c>
      <c r="CU300">
        <f t="shared" ref="CU300:CU317" si="308">AG300</f>
        <v>0</v>
      </c>
      <c r="CV300">
        <f t="shared" ref="CV300:CV317" si="309">(AH300*AV300)</f>
        <v>9</v>
      </c>
      <c r="CW300">
        <f t="shared" ref="CW300:CW317" si="310">AI300</f>
        <v>0</v>
      </c>
      <c r="CX300">
        <f t="shared" ref="CX300:CX317" si="311">AJ300</f>
        <v>0</v>
      </c>
      <c r="CY300">
        <f t="shared" ref="CY300:CY317" si="312">((S300*BZ300)/100)</f>
        <v>7780.3739999999998</v>
      </c>
      <c r="CZ300">
        <f t="shared" ref="CZ300:CZ317" si="313">((S300*CA300)/100)</f>
        <v>1111.482</v>
      </c>
      <c r="DC300" t="s">
        <v>3</v>
      </c>
      <c r="DD300" t="s">
        <v>3</v>
      </c>
      <c r="DE300" t="s">
        <v>3</v>
      </c>
      <c r="DF300" t="s">
        <v>3</v>
      </c>
      <c r="DG300" t="s">
        <v>3</v>
      </c>
      <c r="DH300" t="s">
        <v>3</v>
      </c>
      <c r="DI300" t="s">
        <v>3</v>
      </c>
      <c r="DJ300" t="s">
        <v>3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16987630</v>
      </c>
      <c r="DV300" t="s">
        <v>31</v>
      </c>
      <c r="DW300" t="s">
        <v>31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1441815344</v>
      </c>
      <c r="EF300">
        <v>1</v>
      </c>
      <c r="EG300" t="s">
        <v>19</v>
      </c>
      <c r="EH300">
        <v>0</v>
      </c>
      <c r="EI300" t="s">
        <v>3</v>
      </c>
      <c r="EJ300">
        <v>4</v>
      </c>
      <c r="EK300">
        <v>0</v>
      </c>
      <c r="EL300" t="s">
        <v>20</v>
      </c>
      <c r="EM300" t="s">
        <v>21</v>
      </c>
      <c r="EO300" t="s">
        <v>3</v>
      </c>
      <c r="EQ300">
        <v>0</v>
      </c>
      <c r="ER300">
        <v>5634.49</v>
      </c>
      <c r="ES300">
        <v>77.08</v>
      </c>
      <c r="ET300">
        <v>0</v>
      </c>
      <c r="EU300">
        <v>0</v>
      </c>
      <c r="EV300">
        <v>5557.41</v>
      </c>
      <c r="EW300">
        <v>9</v>
      </c>
      <c r="EX300">
        <v>0</v>
      </c>
      <c r="EY300">
        <v>0</v>
      </c>
      <c r="FQ300">
        <v>0</v>
      </c>
      <c r="FR300">
        <f t="shared" ref="FR300:FR317" si="314">ROUND(IF(BI300=3,GM300,0),2)</f>
        <v>0</v>
      </c>
      <c r="FS300">
        <v>0</v>
      </c>
      <c r="FX300">
        <v>70</v>
      </c>
      <c r="FY300">
        <v>10</v>
      </c>
      <c r="GA300" t="s">
        <v>3</v>
      </c>
      <c r="GD300">
        <v>0</v>
      </c>
      <c r="GF300">
        <v>-1793549914</v>
      </c>
      <c r="GG300">
        <v>2</v>
      </c>
      <c r="GH300">
        <v>1</v>
      </c>
      <c r="GI300">
        <v>-2</v>
      </c>
      <c r="GJ300">
        <v>0</v>
      </c>
      <c r="GK300">
        <f>ROUND(R300*(R12)/100,2)</f>
        <v>0</v>
      </c>
      <c r="GL300">
        <f t="shared" ref="GL300:GL317" si="315">ROUND(IF(AND(BH300=3,BI300=3,FS300&lt;&gt;0),P300,0),2)</f>
        <v>0</v>
      </c>
      <c r="GM300">
        <f t="shared" ref="GM300:GM317" si="316">ROUND(O300+X300+Y300+GK300,2)+GX300</f>
        <v>20160.830000000002</v>
      </c>
      <c r="GN300">
        <f t="shared" ref="GN300:GN317" si="317">IF(OR(BI300=0,BI300=1),GM300-GX300,0)</f>
        <v>0</v>
      </c>
      <c r="GO300">
        <f t="shared" ref="GO300:GO317" si="318">IF(BI300=2,GM300-GX300,0)</f>
        <v>0</v>
      </c>
      <c r="GP300">
        <f t="shared" ref="GP300:GP317" si="319">IF(BI300=4,GM300-GX300,0)</f>
        <v>20160.830000000002</v>
      </c>
      <c r="GR300">
        <v>0</v>
      </c>
      <c r="GS300">
        <v>3</v>
      </c>
      <c r="GT300">
        <v>0</v>
      </c>
      <c r="GU300" t="s">
        <v>3</v>
      </c>
      <c r="GV300">
        <f t="shared" ref="GV300:GV317" si="320">ROUND((GT300),6)</f>
        <v>0</v>
      </c>
      <c r="GW300">
        <v>1</v>
      </c>
      <c r="GX300">
        <f t="shared" ref="GX300:GX317" si="321">ROUND(HC300*I300,2)</f>
        <v>0</v>
      </c>
      <c r="HA300">
        <v>0</v>
      </c>
      <c r="HB300">
        <v>0</v>
      </c>
      <c r="HC300">
        <f t="shared" ref="HC300:HC317" si="322">GV300*GW300</f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17</v>
      </c>
      <c r="B301">
        <v>1</v>
      </c>
      <c r="D301">
        <f>ROW(EtalonRes!A251)</f>
        <v>251</v>
      </c>
      <c r="E301" t="s">
        <v>3</v>
      </c>
      <c r="F301" t="s">
        <v>322</v>
      </c>
      <c r="G301" t="s">
        <v>323</v>
      </c>
      <c r="H301" t="s">
        <v>31</v>
      </c>
      <c r="I301">
        <v>2</v>
      </c>
      <c r="J301">
        <v>0</v>
      </c>
      <c r="K301">
        <v>2</v>
      </c>
      <c r="O301">
        <f t="shared" si="290"/>
        <v>1114.08</v>
      </c>
      <c r="P301">
        <f t="shared" si="291"/>
        <v>2.58</v>
      </c>
      <c r="Q301">
        <f t="shared" si="292"/>
        <v>0</v>
      </c>
      <c r="R301">
        <f t="shared" si="293"/>
        <v>0</v>
      </c>
      <c r="S301">
        <f t="shared" si="294"/>
        <v>1111.5</v>
      </c>
      <c r="T301">
        <f t="shared" si="295"/>
        <v>0</v>
      </c>
      <c r="U301">
        <f t="shared" si="296"/>
        <v>1.7999999999999998</v>
      </c>
      <c r="V301">
        <f t="shared" si="297"/>
        <v>0</v>
      </c>
      <c r="W301">
        <f t="shared" si="298"/>
        <v>0</v>
      </c>
      <c r="X301">
        <f t="shared" si="299"/>
        <v>778.05</v>
      </c>
      <c r="Y301">
        <f t="shared" si="300"/>
        <v>111.15</v>
      </c>
      <c r="AA301">
        <v>-1</v>
      </c>
      <c r="AB301">
        <f t="shared" si="301"/>
        <v>557.04</v>
      </c>
      <c r="AC301">
        <f>ROUND(((ES301*3)),6)</f>
        <v>1.29</v>
      </c>
      <c r="AD301">
        <f>ROUND(((((ET301*3))-((EU301*3)))+AE301),6)</f>
        <v>0</v>
      </c>
      <c r="AE301">
        <f>ROUND(((EU301*3)),6)</f>
        <v>0</v>
      </c>
      <c r="AF301">
        <f>ROUND(((EV301*3)),6)</f>
        <v>555.75</v>
      </c>
      <c r="AG301">
        <f t="shared" si="302"/>
        <v>0</v>
      </c>
      <c r="AH301">
        <f>((EW301*3))</f>
        <v>0.89999999999999991</v>
      </c>
      <c r="AI301">
        <f>((EX301*3))</f>
        <v>0</v>
      </c>
      <c r="AJ301">
        <f t="shared" si="303"/>
        <v>0</v>
      </c>
      <c r="AK301">
        <v>185.68</v>
      </c>
      <c r="AL301">
        <v>0.43</v>
      </c>
      <c r="AM301">
        <v>0</v>
      </c>
      <c r="AN301">
        <v>0</v>
      </c>
      <c r="AO301">
        <v>185.25</v>
      </c>
      <c r="AP301">
        <v>0</v>
      </c>
      <c r="AQ301">
        <v>0.3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324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si="304"/>
        <v>1114.08</v>
      </c>
      <c r="CQ301">
        <f t="shared" si="305"/>
        <v>1.29</v>
      </c>
      <c r="CR301">
        <f>(((((ET301*3))*BB301-((EU301*3))*BS301)+AE301*BS301)*AV301)</f>
        <v>0</v>
      </c>
      <c r="CS301">
        <f t="shared" si="306"/>
        <v>0</v>
      </c>
      <c r="CT301">
        <f t="shared" si="307"/>
        <v>555.75</v>
      </c>
      <c r="CU301">
        <f t="shared" si="308"/>
        <v>0</v>
      </c>
      <c r="CV301">
        <f t="shared" si="309"/>
        <v>0.89999999999999991</v>
      </c>
      <c r="CW301">
        <f t="shared" si="310"/>
        <v>0</v>
      </c>
      <c r="CX301">
        <f t="shared" si="311"/>
        <v>0</v>
      </c>
      <c r="CY301">
        <f t="shared" si="312"/>
        <v>778.05</v>
      </c>
      <c r="CZ301">
        <f t="shared" si="313"/>
        <v>111.15</v>
      </c>
      <c r="DC301" t="s">
        <v>3</v>
      </c>
      <c r="DD301" t="s">
        <v>325</v>
      </c>
      <c r="DE301" t="s">
        <v>325</v>
      </c>
      <c r="DF301" t="s">
        <v>325</v>
      </c>
      <c r="DG301" t="s">
        <v>325</v>
      </c>
      <c r="DH301" t="s">
        <v>3</v>
      </c>
      <c r="DI301" t="s">
        <v>325</v>
      </c>
      <c r="DJ301" t="s">
        <v>325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16987630</v>
      </c>
      <c r="DV301" t="s">
        <v>31</v>
      </c>
      <c r="DW301" t="s">
        <v>31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1441815344</v>
      </c>
      <c r="EF301">
        <v>1</v>
      </c>
      <c r="EG301" t="s">
        <v>19</v>
      </c>
      <c r="EH301">
        <v>0</v>
      </c>
      <c r="EI301" t="s">
        <v>3</v>
      </c>
      <c r="EJ301">
        <v>4</v>
      </c>
      <c r="EK301">
        <v>0</v>
      </c>
      <c r="EL301" t="s">
        <v>20</v>
      </c>
      <c r="EM301" t="s">
        <v>21</v>
      </c>
      <c r="EO301" t="s">
        <v>3</v>
      </c>
      <c r="EQ301">
        <v>1024</v>
      </c>
      <c r="ER301">
        <v>185.68</v>
      </c>
      <c r="ES301">
        <v>0.43</v>
      </c>
      <c r="ET301">
        <v>0</v>
      </c>
      <c r="EU301">
        <v>0</v>
      </c>
      <c r="EV301">
        <v>185.25</v>
      </c>
      <c r="EW301">
        <v>0.3</v>
      </c>
      <c r="EX301">
        <v>0</v>
      </c>
      <c r="EY301">
        <v>0</v>
      </c>
      <c r="FQ301">
        <v>0</v>
      </c>
      <c r="FR301">
        <f t="shared" si="314"/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-886302342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 t="shared" si="315"/>
        <v>0</v>
      </c>
      <c r="GM301">
        <f t="shared" si="316"/>
        <v>2003.28</v>
      </c>
      <c r="GN301">
        <f t="shared" si="317"/>
        <v>0</v>
      </c>
      <c r="GO301">
        <f t="shared" si="318"/>
        <v>0</v>
      </c>
      <c r="GP301">
        <f t="shared" si="319"/>
        <v>2003.28</v>
      </c>
      <c r="GR301">
        <v>0</v>
      </c>
      <c r="GS301">
        <v>3</v>
      </c>
      <c r="GT301">
        <v>0</v>
      </c>
      <c r="GU301" t="s">
        <v>3</v>
      </c>
      <c r="GV301">
        <f t="shared" si="320"/>
        <v>0</v>
      </c>
      <c r="GW301">
        <v>1</v>
      </c>
      <c r="GX301">
        <f t="shared" si="321"/>
        <v>0</v>
      </c>
      <c r="HA301">
        <v>0</v>
      </c>
      <c r="HB301">
        <v>0</v>
      </c>
      <c r="HC301">
        <f t="shared" si="322"/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D302">
        <f>ROW(EtalonRes!A254)</f>
        <v>254</v>
      </c>
      <c r="E302" t="s">
        <v>3</v>
      </c>
      <c r="F302" t="s">
        <v>326</v>
      </c>
      <c r="G302" t="s">
        <v>327</v>
      </c>
      <c r="H302" t="s">
        <v>31</v>
      </c>
      <c r="I302">
        <v>4</v>
      </c>
      <c r="J302">
        <v>0</v>
      </c>
      <c r="K302">
        <v>4</v>
      </c>
      <c r="O302">
        <f t="shared" si="290"/>
        <v>4634.12</v>
      </c>
      <c r="P302">
        <f t="shared" si="291"/>
        <v>7.12</v>
      </c>
      <c r="Q302">
        <f t="shared" si="292"/>
        <v>0</v>
      </c>
      <c r="R302">
        <f t="shared" si="293"/>
        <v>0</v>
      </c>
      <c r="S302">
        <f t="shared" si="294"/>
        <v>4627</v>
      </c>
      <c r="T302">
        <f t="shared" si="295"/>
        <v>0</v>
      </c>
      <c r="U302">
        <f t="shared" si="296"/>
        <v>6.52</v>
      </c>
      <c r="V302">
        <f t="shared" si="297"/>
        <v>0</v>
      </c>
      <c r="W302">
        <f t="shared" si="298"/>
        <v>0</v>
      </c>
      <c r="X302">
        <f t="shared" si="299"/>
        <v>3238.9</v>
      </c>
      <c r="Y302">
        <f t="shared" si="300"/>
        <v>462.7</v>
      </c>
      <c r="AA302">
        <v>-1</v>
      </c>
      <c r="AB302">
        <f t="shared" si="301"/>
        <v>1158.53</v>
      </c>
      <c r="AC302">
        <f>ROUND((ES302),6)</f>
        <v>1.78</v>
      </c>
      <c r="AD302">
        <f>ROUND((((ET302)-(EU302))+AE302),6)</f>
        <v>0</v>
      </c>
      <c r="AE302">
        <f>ROUND((EU302),6)</f>
        <v>0</v>
      </c>
      <c r="AF302">
        <f>ROUND((EV302),6)</f>
        <v>1156.75</v>
      </c>
      <c r="AG302">
        <f t="shared" si="302"/>
        <v>0</v>
      </c>
      <c r="AH302">
        <f>(EW302)</f>
        <v>1.63</v>
      </c>
      <c r="AI302">
        <f>(EX302)</f>
        <v>0</v>
      </c>
      <c r="AJ302">
        <f t="shared" si="303"/>
        <v>0</v>
      </c>
      <c r="AK302">
        <v>1158.53</v>
      </c>
      <c r="AL302">
        <v>1.78</v>
      </c>
      <c r="AM302">
        <v>0</v>
      </c>
      <c r="AN302">
        <v>0</v>
      </c>
      <c r="AO302">
        <v>1156.75</v>
      </c>
      <c r="AP302">
        <v>0</v>
      </c>
      <c r="AQ302">
        <v>1.63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328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304"/>
        <v>4634.12</v>
      </c>
      <c r="CQ302">
        <f t="shared" si="305"/>
        <v>1.78</v>
      </c>
      <c r="CR302">
        <f>((((ET302)*BB302-(EU302)*BS302)+AE302*BS302)*AV302)</f>
        <v>0</v>
      </c>
      <c r="CS302">
        <f t="shared" si="306"/>
        <v>0</v>
      </c>
      <c r="CT302">
        <f t="shared" si="307"/>
        <v>1156.75</v>
      </c>
      <c r="CU302">
        <f t="shared" si="308"/>
        <v>0</v>
      </c>
      <c r="CV302">
        <f t="shared" si="309"/>
        <v>1.63</v>
      </c>
      <c r="CW302">
        <f t="shared" si="310"/>
        <v>0</v>
      </c>
      <c r="CX302">
        <f t="shared" si="311"/>
        <v>0</v>
      </c>
      <c r="CY302">
        <f t="shared" si="312"/>
        <v>3238.9</v>
      </c>
      <c r="CZ302">
        <f t="shared" si="313"/>
        <v>462.7</v>
      </c>
      <c r="DC302" t="s">
        <v>3</v>
      </c>
      <c r="DD302" t="s">
        <v>3</v>
      </c>
      <c r="DE302" t="s">
        <v>3</v>
      </c>
      <c r="DF302" t="s">
        <v>3</v>
      </c>
      <c r="DG302" t="s">
        <v>3</v>
      </c>
      <c r="DH302" t="s">
        <v>3</v>
      </c>
      <c r="DI302" t="s">
        <v>3</v>
      </c>
      <c r="DJ302" t="s">
        <v>3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16987630</v>
      </c>
      <c r="DV302" t="s">
        <v>31</v>
      </c>
      <c r="DW302" t="s">
        <v>31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19</v>
      </c>
      <c r="EH302">
        <v>0</v>
      </c>
      <c r="EI302" t="s">
        <v>3</v>
      </c>
      <c r="EJ302">
        <v>4</v>
      </c>
      <c r="EK302">
        <v>0</v>
      </c>
      <c r="EL302" t="s">
        <v>20</v>
      </c>
      <c r="EM302" t="s">
        <v>21</v>
      </c>
      <c r="EO302" t="s">
        <v>3</v>
      </c>
      <c r="EQ302">
        <v>1311744</v>
      </c>
      <c r="ER302">
        <v>1158.53</v>
      </c>
      <c r="ES302">
        <v>1.78</v>
      </c>
      <c r="ET302">
        <v>0</v>
      </c>
      <c r="EU302">
        <v>0</v>
      </c>
      <c r="EV302">
        <v>1156.75</v>
      </c>
      <c r="EW302">
        <v>1.63</v>
      </c>
      <c r="EX302">
        <v>0</v>
      </c>
      <c r="EY302">
        <v>0</v>
      </c>
      <c r="FQ302">
        <v>0</v>
      </c>
      <c r="FR302">
        <f t="shared" si="314"/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1177730177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 t="shared" si="315"/>
        <v>0</v>
      </c>
      <c r="GM302">
        <f t="shared" si="316"/>
        <v>8335.7199999999993</v>
      </c>
      <c r="GN302">
        <f t="shared" si="317"/>
        <v>0</v>
      </c>
      <c r="GO302">
        <f t="shared" si="318"/>
        <v>0</v>
      </c>
      <c r="GP302">
        <f t="shared" si="319"/>
        <v>8335.7199999999993</v>
      </c>
      <c r="GR302">
        <v>0</v>
      </c>
      <c r="GS302">
        <v>3</v>
      </c>
      <c r="GT302">
        <v>0</v>
      </c>
      <c r="GU302" t="s">
        <v>3</v>
      </c>
      <c r="GV302">
        <f t="shared" si="320"/>
        <v>0</v>
      </c>
      <c r="GW302">
        <v>1</v>
      </c>
      <c r="GX302">
        <f t="shared" si="321"/>
        <v>0</v>
      </c>
      <c r="HA302">
        <v>0</v>
      </c>
      <c r="HB302">
        <v>0</v>
      </c>
      <c r="HC302">
        <f t="shared" si="322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D303">
        <f>ROW(EtalonRes!A258)</f>
        <v>258</v>
      </c>
      <c r="E303" t="s">
        <v>3</v>
      </c>
      <c r="F303" t="s">
        <v>329</v>
      </c>
      <c r="G303" t="s">
        <v>330</v>
      </c>
      <c r="H303" t="s">
        <v>31</v>
      </c>
      <c r="I303">
        <v>4</v>
      </c>
      <c r="J303">
        <v>0</v>
      </c>
      <c r="K303">
        <v>4</v>
      </c>
      <c r="O303">
        <f t="shared" si="290"/>
        <v>8551.68</v>
      </c>
      <c r="P303">
        <f t="shared" si="291"/>
        <v>57.6</v>
      </c>
      <c r="Q303">
        <f t="shared" si="292"/>
        <v>0</v>
      </c>
      <c r="R303">
        <f t="shared" si="293"/>
        <v>0</v>
      </c>
      <c r="S303">
        <f t="shared" si="294"/>
        <v>8494.08</v>
      </c>
      <c r="T303">
        <f t="shared" si="295"/>
        <v>0</v>
      </c>
      <c r="U303">
        <f t="shared" si="296"/>
        <v>12.8</v>
      </c>
      <c r="V303">
        <f t="shared" si="297"/>
        <v>0</v>
      </c>
      <c r="W303">
        <f t="shared" si="298"/>
        <v>0</v>
      </c>
      <c r="X303">
        <f t="shared" si="299"/>
        <v>5945.86</v>
      </c>
      <c r="Y303">
        <f t="shared" si="300"/>
        <v>849.41</v>
      </c>
      <c r="AA303">
        <v>-1</v>
      </c>
      <c r="AB303">
        <f t="shared" si="301"/>
        <v>2137.92</v>
      </c>
      <c r="AC303">
        <f>ROUND(((ES303*16)),6)</f>
        <v>14.4</v>
      </c>
      <c r="AD303">
        <f>ROUND(((((ET303*16))-((EU303*16)))+AE303),6)</f>
        <v>0</v>
      </c>
      <c r="AE303">
        <f>ROUND(((EU303*16)),6)</f>
        <v>0</v>
      </c>
      <c r="AF303">
        <f>ROUND(((EV303*16)),6)</f>
        <v>2123.52</v>
      </c>
      <c r="AG303">
        <f t="shared" si="302"/>
        <v>0</v>
      </c>
      <c r="AH303">
        <f>((EW303*16))</f>
        <v>3.2</v>
      </c>
      <c r="AI303">
        <f>((EX303*16))</f>
        <v>0</v>
      </c>
      <c r="AJ303">
        <f t="shared" si="303"/>
        <v>0</v>
      </c>
      <c r="AK303">
        <v>133.62</v>
      </c>
      <c r="AL303">
        <v>0.9</v>
      </c>
      <c r="AM303">
        <v>0</v>
      </c>
      <c r="AN303">
        <v>0</v>
      </c>
      <c r="AO303">
        <v>132.72</v>
      </c>
      <c r="AP303">
        <v>0</v>
      </c>
      <c r="AQ303">
        <v>0.2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331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304"/>
        <v>8551.68</v>
      </c>
      <c r="CQ303">
        <f t="shared" si="305"/>
        <v>14.4</v>
      </c>
      <c r="CR303">
        <f>(((((ET303*16))*BB303-((EU303*16))*BS303)+AE303*BS303)*AV303)</f>
        <v>0</v>
      </c>
      <c r="CS303">
        <f t="shared" si="306"/>
        <v>0</v>
      </c>
      <c r="CT303">
        <f t="shared" si="307"/>
        <v>2123.52</v>
      </c>
      <c r="CU303">
        <f t="shared" si="308"/>
        <v>0</v>
      </c>
      <c r="CV303">
        <f t="shared" si="309"/>
        <v>3.2</v>
      </c>
      <c r="CW303">
        <f t="shared" si="310"/>
        <v>0</v>
      </c>
      <c r="CX303">
        <f t="shared" si="311"/>
        <v>0</v>
      </c>
      <c r="CY303">
        <f t="shared" si="312"/>
        <v>5945.8559999999998</v>
      </c>
      <c r="CZ303">
        <f t="shared" si="313"/>
        <v>849.40800000000002</v>
      </c>
      <c r="DC303" t="s">
        <v>3</v>
      </c>
      <c r="DD303" t="s">
        <v>332</v>
      </c>
      <c r="DE303" t="s">
        <v>332</v>
      </c>
      <c r="DF303" t="s">
        <v>332</v>
      </c>
      <c r="DG303" t="s">
        <v>332</v>
      </c>
      <c r="DH303" t="s">
        <v>3</v>
      </c>
      <c r="DI303" t="s">
        <v>332</v>
      </c>
      <c r="DJ303" t="s">
        <v>332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16987630</v>
      </c>
      <c r="DV303" t="s">
        <v>31</v>
      </c>
      <c r="DW303" t="s">
        <v>31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19</v>
      </c>
      <c r="EH303">
        <v>0</v>
      </c>
      <c r="EI303" t="s">
        <v>3</v>
      </c>
      <c r="EJ303">
        <v>4</v>
      </c>
      <c r="EK303">
        <v>0</v>
      </c>
      <c r="EL303" t="s">
        <v>20</v>
      </c>
      <c r="EM303" t="s">
        <v>21</v>
      </c>
      <c r="EO303" t="s">
        <v>3</v>
      </c>
      <c r="EQ303">
        <v>1024</v>
      </c>
      <c r="ER303">
        <v>133.62</v>
      </c>
      <c r="ES303">
        <v>0.9</v>
      </c>
      <c r="ET303">
        <v>0</v>
      </c>
      <c r="EU303">
        <v>0</v>
      </c>
      <c r="EV303">
        <v>132.72</v>
      </c>
      <c r="EW303">
        <v>0.2</v>
      </c>
      <c r="EX303">
        <v>0</v>
      </c>
      <c r="EY303">
        <v>0</v>
      </c>
      <c r="FQ303">
        <v>0</v>
      </c>
      <c r="FR303">
        <f t="shared" si="314"/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-1028445436</v>
      </c>
      <c r="GG303">
        <v>2</v>
      </c>
      <c r="GH303">
        <v>1</v>
      </c>
      <c r="GI303">
        <v>-2</v>
      </c>
      <c r="GJ303">
        <v>0</v>
      </c>
      <c r="GK303">
        <f>ROUND(R303*(R12)/100,2)</f>
        <v>0</v>
      </c>
      <c r="GL303">
        <f t="shared" si="315"/>
        <v>0</v>
      </c>
      <c r="GM303">
        <f t="shared" si="316"/>
        <v>15346.95</v>
      </c>
      <c r="GN303">
        <f t="shared" si="317"/>
        <v>0</v>
      </c>
      <c r="GO303">
        <f t="shared" si="318"/>
        <v>0</v>
      </c>
      <c r="GP303">
        <f t="shared" si="319"/>
        <v>15346.95</v>
      </c>
      <c r="GR303">
        <v>0</v>
      </c>
      <c r="GS303">
        <v>3</v>
      </c>
      <c r="GT303">
        <v>0</v>
      </c>
      <c r="GU303" t="s">
        <v>3</v>
      </c>
      <c r="GV303">
        <f t="shared" si="320"/>
        <v>0</v>
      </c>
      <c r="GW303">
        <v>1</v>
      </c>
      <c r="GX303">
        <f t="shared" si="321"/>
        <v>0</v>
      </c>
      <c r="HA303">
        <v>0</v>
      </c>
      <c r="HB303">
        <v>0</v>
      </c>
      <c r="HC303">
        <f t="shared" si="322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D304">
        <f>ROW(EtalonRes!A263)</f>
        <v>263</v>
      </c>
      <c r="E304" t="s">
        <v>333</v>
      </c>
      <c r="F304" t="s">
        <v>334</v>
      </c>
      <c r="G304" t="s">
        <v>335</v>
      </c>
      <c r="H304" t="s">
        <v>31</v>
      </c>
      <c r="I304">
        <v>2</v>
      </c>
      <c r="J304">
        <v>0</v>
      </c>
      <c r="K304">
        <v>2</v>
      </c>
      <c r="O304">
        <f t="shared" si="290"/>
        <v>18781.599999999999</v>
      </c>
      <c r="P304">
        <f t="shared" si="291"/>
        <v>256.89999999999998</v>
      </c>
      <c r="Q304">
        <f t="shared" si="292"/>
        <v>0</v>
      </c>
      <c r="R304">
        <f t="shared" si="293"/>
        <v>0</v>
      </c>
      <c r="S304">
        <f t="shared" si="294"/>
        <v>18524.7</v>
      </c>
      <c r="T304">
        <f t="shared" si="295"/>
        <v>0</v>
      </c>
      <c r="U304">
        <f t="shared" si="296"/>
        <v>30</v>
      </c>
      <c r="V304">
        <f t="shared" si="297"/>
        <v>0</v>
      </c>
      <c r="W304">
        <f t="shared" si="298"/>
        <v>0</v>
      </c>
      <c r="X304">
        <f t="shared" si="299"/>
        <v>12967.29</v>
      </c>
      <c r="Y304">
        <f t="shared" si="300"/>
        <v>1852.47</v>
      </c>
      <c r="AA304">
        <v>1471988752</v>
      </c>
      <c r="AB304">
        <f t="shared" si="301"/>
        <v>9390.7999999999993</v>
      </c>
      <c r="AC304">
        <f>ROUND((ES304),6)</f>
        <v>128.44999999999999</v>
      </c>
      <c r="AD304">
        <f>ROUND((((ET304)-(EU304))+AE304),6)</f>
        <v>0</v>
      </c>
      <c r="AE304">
        <f>ROUND((EU304),6)</f>
        <v>0</v>
      </c>
      <c r="AF304">
        <f>ROUND((EV304),6)</f>
        <v>9262.35</v>
      </c>
      <c r="AG304">
        <f t="shared" si="302"/>
        <v>0</v>
      </c>
      <c r="AH304">
        <f>(EW304)</f>
        <v>15</v>
      </c>
      <c r="AI304">
        <f>(EX304)</f>
        <v>0</v>
      </c>
      <c r="AJ304">
        <f t="shared" si="303"/>
        <v>0</v>
      </c>
      <c r="AK304">
        <v>9390.7999999999993</v>
      </c>
      <c r="AL304">
        <v>128.44999999999999</v>
      </c>
      <c r="AM304">
        <v>0</v>
      </c>
      <c r="AN304">
        <v>0</v>
      </c>
      <c r="AO304">
        <v>9262.35</v>
      </c>
      <c r="AP304">
        <v>0</v>
      </c>
      <c r="AQ304">
        <v>15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336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304"/>
        <v>18781.600000000002</v>
      </c>
      <c r="CQ304">
        <f t="shared" si="305"/>
        <v>128.44999999999999</v>
      </c>
      <c r="CR304">
        <f>((((ET304)*BB304-(EU304)*BS304)+AE304*BS304)*AV304)</f>
        <v>0</v>
      </c>
      <c r="CS304">
        <f t="shared" si="306"/>
        <v>0</v>
      </c>
      <c r="CT304">
        <f t="shared" si="307"/>
        <v>9262.35</v>
      </c>
      <c r="CU304">
        <f t="shared" si="308"/>
        <v>0</v>
      </c>
      <c r="CV304">
        <f t="shared" si="309"/>
        <v>15</v>
      </c>
      <c r="CW304">
        <f t="shared" si="310"/>
        <v>0</v>
      </c>
      <c r="CX304">
        <f t="shared" si="311"/>
        <v>0</v>
      </c>
      <c r="CY304">
        <f t="shared" si="312"/>
        <v>12967.29</v>
      </c>
      <c r="CZ304">
        <f t="shared" si="313"/>
        <v>1852.47</v>
      </c>
      <c r="DC304" t="s">
        <v>3</v>
      </c>
      <c r="DD304" t="s">
        <v>3</v>
      </c>
      <c r="DE304" t="s">
        <v>3</v>
      </c>
      <c r="DF304" t="s">
        <v>3</v>
      </c>
      <c r="DG304" t="s">
        <v>3</v>
      </c>
      <c r="DH304" t="s">
        <v>3</v>
      </c>
      <c r="DI304" t="s">
        <v>3</v>
      </c>
      <c r="DJ304" t="s">
        <v>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16987630</v>
      </c>
      <c r="DV304" t="s">
        <v>31</v>
      </c>
      <c r="DW304" t="s">
        <v>31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19</v>
      </c>
      <c r="EH304">
        <v>0</v>
      </c>
      <c r="EI304" t="s">
        <v>3</v>
      </c>
      <c r="EJ304">
        <v>4</v>
      </c>
      <c r="EK304">
        <v>0</v>
      </c>
      <c r="EL304" t="s">
        <v>20</v>
      </c>
      <c r="EM304" t="s">
        <v>21</v>
      </c>
      <c r="EO304" t="s">
        <v>3</v>
      </c>
      <c r="EQ304">
        <v>0</v>
      </c>
      <c r="ER304">
        <v>9390.7999999999993</v>
      </c>
      <c r="ES304">
        <v>128.44999999999999</v>
      </c>
      <c r="ET304">
        <v>0</v>
      </c>
      <c r="EU304">
        <v>0</v>
      </c>
      <c r="EV304">
        <v>9262.35</v>
      </c>
      <c r="EW304">
        <v>15</v>
      </c>
      <c r="EX304">
        <v>0</v>
      </c>
      <c r="EY304">
        <v>0</v>
      </c>
      <c r="FQ304">
        <v>0</v>
      </c>
      <c r="FR304">
        <f t="shared" si="314"/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-2096989917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 t="shared" si="315"/>
        <v>0</v>
      </c>
      <c r="GM304">
        <f t="shared" si="316"/>
        <v>33601.360000000001</v>
      </c>
      <c r="GN304">
        <f t="shared" si="317"/>
        <v>0</v>
      </c>
      <c r="GO304">
        <f t="shared" si="318"/>
        <v>0</v>
      </c>
      <c r="GP304">
        <f t="shared" si="319"/>
        <v>33601.360000000001</v>
      </c>
      <c r="GR304">
        <v>0</v>
      </c>
      <c r="GS304">
        <v>3</v>
      </c>
      <c r="GT304">
        <v>0</v>
      </c>
      <c r="GU304" t="s">
        <v>3</v>
      </c>
      <c r="GV304">
        <f t="shared" si="320"/>
        <v>0</v>
      </c>
      <c r="GW304">
        <v>1</v>
      </c>
      <c r="GX304">
        <f t="shared" si="321"/>
        <v>0</v>
      </c>
      <c r="HA304">
        <v>0</v>
      </c>
      <c r="HB304">
        <v>0</v>
      </c>
      <c r="HC304">
        <f t="shared" si="322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D305">
        <f>ROW(EtalonRes!A265)</f>
        <v>265</v>
      </c>
      <c r="E305" t="s">
        <v>3</v>
      </c>
      <c r="F305" t="s">
        <v>337</v>
      </c>
      <c r="G305" t="s">
        <v>338</v>
      </c>
      <c r="H305" t="s">
        <v>31</v>
      </c>
      <c r="I305">
        <v>2</v>
      </c>
      <c r="J305">
        <v>0</v>
      </c>
      <c r="K305">
        <v>2</v>
      </c>
      <c r="O305">
        <f t="shared" si="290"/>
        <v>1856.88</v>
      </c>
      <c r="P305">
        <f t="shared" si="291"/>
        <v>4.4400000000000004</v>
      </c>
      <c r="Q305">
        <f t="shared" si="292"/>
        <v>0</v>
      </c>
      <c r="R305">
        <f t="shared" si="293"/>
        <v>0</v>
      </c>
      <c r="S305">
        <f t="shared" si="294"/>
        <v>1852.44</v>
      </c>
      <c r="T305">
        <f t="shared" si="295"/>
        <v>0</v>
      </c>
      <c r="U305">
        <f t="shared" si="296"/>
        <v>3</v>
      </c>
      <c r="V305">
        <f t="shared" si="297"/>
        <v>0</v>
      </c>
      <c r="W305">
        <f t="shared" si="298"/>
        <v>0</v>
      </c>
      <c r="X305">
        <f t="shared" si="299"/>
        <v>1296.71</v>
      </c>
      <c r="Y305">
        <f t="shared" si="300"/>
        <v>185.24</v>
      </c>
      <c r="AA305">
        <v>-1</v>
      </c>
      <c r="AB305">
        <f t="shared" si="301"/>
        <v>928.44</v>
      </c>
      <c r="AC305">
        <f>ROUND(((ES305*3)),6)</f>
        <v>2.2200000000000002</v>
      </c>
      <c r="AD305">
        <f>ROUND(((((ET305*3))-((EU305*3)))+AE305),6)</f>
        <v>0</v>
      </c>
      <c r="AE305">
        <f>ROUND(((EU305*3)),6)</f>
        <v>0</v>
      </c>
      <c r="AF305">
        <f>ROUND(((EV305*3)),6)</f>
        <v>926.22</v>
      </c>
      <c r="AG305">
        <f t="shared" si="302"/>
        <v>0</v>
      </c>
      <c r="AH305">
        <f>((EW305*3))</f>
        <v>1.5</v>
      </c>
      <c r="AI305">
        <f>((EX305*3))</f>
        <v>0</v>
      </c>
      <c r="AJ305">
        <f t="shared" si="303"/>
        <v>0</v>
      </c>
      <c r="AK305">
        <v>309.48</v>
      </c>
      <c r="AL305">
        <v>0.74</v>
      </c>
      <c r="AM305">
        <v>0</v>
      </c>
      <c r="AN305">
        <v>0</v>
      </c>
      <c r="AO305">
        <v>308.74</v>
      </c>
      <c r="AP305">
        <v>0</v>
      </c>
      <c r="AQ305">
        <v>0.5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339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304"/>
        <v>1856.88</v>
      </c>
      <c r="CQ305">
        <f t="shared" si="305"/>
        <v>2.2200000000000002</v>
      </c>
      <c r="CR305">
        <f>(((((ET305*3))*BB305-((EU305*3))*BS305)+AE305*BS305)*AV305)</f>
        <v>0</v>
      </c>
      <c r="CS305">
        <f t="shared" si="306"/>
        <v>0</v>
      </c>
      <c r="CT305">
        <f t="shared" si="307"/>
        <v>926.22</v>
      </c>
      <c r="CU305">
        <f t="shared" si="308"/>
        <v>0</v>
      </c>
      <c r="CV305">
        <f t="shared" si="309"/>
        <v>1.5</v>
      </c>
      <c r="CW305">
        <f t="shared" si="310"/>
        <v>0</v>
      </c>
      <c r="CX305">
        <f t="shared" si="311"/>
        <v>0</v>
      </c>
      <c r="CY305">
        <f t="shared" si="312"/>
        <v>1296.7080000000001</v>
      </c>
      <c r="CZ305">
        <f t="shared" si="313"/>
        <v>185.24400000000003</v>
      </c>
      <c r="DC305" t="s">
        <v>3</v>
      </c>
      <c r="DD305" t="s">
        <v>325</v>
      </c>
      <c r="DE305" t="s">
        <v>325</v>
      </c>
      <c r="DF305" t="s">
        <v>325</v>
      </c>
      <c r="DG305" t="s">
        <v>325</v>
      </c>
      <c r="DH305" t="s">
        <v>3</v>
      </c>
      <c r="DI305" t="s">
        <v>325</v>
      </c>
      <c r="DJ305" t="s">
        <v>325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16987630</v>
      </c>
      <c r="DV305" t="s">
        <v>31</v>
      </c>
      <c r="DW305" t="s">
        <v>31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19</v>
      </c>
      <c r="EH305">
        <v>0</v>
      </c>
      <c r="EI305" t="s">
        <v>3</v>
      </c>
      <c r="EJ305">
        <v>4</v>
      </c>
      <c r="EK305">
        <v>0</v>
      </c>
      <c r="EL305" t="s">
        <v>20</v>
      </c>
      <c r="EM305" t="s">
        <v>21</v>
      </c>
      <c r="EO305" t="s">
        <v>3</v>
      </c>
      <c r="EQ305">
        <v>1024</v>
      </c>
      <c r="ER305">
        <v>309.48</v>
      </c>
      <c r="ES305">
        <v>0.74</v>
      </c>
      <c r="ET305">
        <v>0</v>
      </c>
      <c r="EU305">
        <v>0</v>
      </c>
      <c r="EV305">
        <v>308.74</v>
      </c>
      <c r="EW305">
        <v>0.5</v>
      </c>
      <c r="EX305">
        <v>0</v>
      </c>
      <c r="EY305">
        <v>0</v>
      </c>
      <c r="FQ305">
        <v>0</v>
      </c>
      <c r="FR305">
        <f t="shared" si="314"/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139908063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</v>
      </c>
      <c r="GL305">
        <f t="shared" si="315"/>
        <v>0</v>
      </c>
      <c r="GM305">
        <f t="shared" si="316"/>
        <v>3338.83</v>
      </c>
      <c r="GN305">
        <f t="shared" si="317"/>
        <v>0</v>
      </c>
      <c r="GO305">
        <f t="shared" si="318"/>
        <v>0</v>
      </c>
      <c r="GP305">
        <f t="shared" si="319"/>
        <v>3338.83</v>
      </c>
      <c r="GR305">
        <v>0</v>
      </c>
      <c r="GS305">
        <v>3</v>
      </c>
      <c r="GT305">
        <v>0</v>
      </c>
      <c r="GU305" t="s">
        <v>3</v>
      </c>
      <c r="GV305">
        <f t="shared" si="320"/>
        <v>0</v>
      </c>
      <c r="GW305">
        <v>1</v>
      </c>
      <c r="GX305">
        <f t="shared" si="321"/>
        <v>0</v>
      </c>
      <c r="HA305">
        <v>0</v>
      </c>
      <c r="HB305">
        <v>0</v>
      </c>
      <c r="HC305">
        <f t="shared" si="322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D306">
        <f>ROW(EtalonRes!A270)</f>
        <v>270</v>
      </c>
      <c r="E306" t="s">
        <v>340</v>
      </c>
      <c r="F306" t="s">
        <v>341</v>
      </c>
      <c r="G306" t="s">
        <v>342</v>
      </c>
      <c r="H306" t="s">
        <v>31</v>
      </c>
      <c r="I306">
        <v>1</v>
      </c>
      <c r="J306">
        <v>0</v>
      </c>
      <c r="K306">
        <v>1</v>
      </c>
      <c r="O306">
        <f t="shared" si="290"/>
        <v>15025.29</v>
      </c>
      <c r="P306">
        <f t="shared" si="291"/>
        <v>205.53</v>
      </c>
      <c r="Q306">
        <f t="shared" si="292"/>
        <v>0</v>
      </c>
      <c r="R306">
        <f t="shared" si="293"/>
        <v>0</v>
      </c>
      <c r="S306">
        <f t="shared" si="294"/>
        <v>14819.76</v>
      </c>
      <c r="T306">
        <f t="shared" si="295"/>
        <v>0</v>
      </c>
      <c r="U306">
        <f t="shared" si="296"/>
        <v>24</v>
      </c>
      <c r="V306">
        <f t="shared" si="297"/>
        <v>0</v>
      </c>
      <c r="W306">
        <f t="shared" si="298"/>
        <v>0</v>
      </c>
      <c r="X306">
        <f t="shared" si="299"/>
        <v>10373.83</v>
      </c>
      <c r="Y306">
        <f t="shared" si="300"/>
        <v>1481.98</v>
      </c>
      <c r="AA306">
        <v>1471988752</v>
      </c>
      <c r="AB306">
        <f t="shared" si="301"/>
        <v>15025.29</v>
      </c>
      <c r="AC306">
        <f>ROUND((ES306),6)</f>
        <v>205.53</v>
      </c>
      <c r="AD306">
        <f>ROUND((((ET306)-(EU306))+AE306),6)</f>
        <v>0</v>
      </c>
      <c r="AE306">
        <f>ROUND((EU306),6)</f>
        <v>0</v>
      </c>
      <c r="AF306">
        <f>ROUND((EV306),6)</f>
        <v>14819.76</v>
      </c>
      <c r="AG306">
        <f t="shared" si="302"/>
        <v>0</v>
      </c>
      <c r="AH306">
        <f>(EW306)</f>
        <v>24</v>
      </c>
      <c r="AI306">
        <f>(EX306)</f>
        <v>0</v>
      </c>
      <c r="AJ306">
        <f t="shared" si="303"/>
        <v>0</v>
      </c>
      <c r="AK306">
        <v>15025.29</v>
      </c>
      <c r="AL306">
        <v>205.53</v>
      </c>
      <c r="AM306">
        <v>0</v>
      </c>
      <c r="AN306">
        <v>0</v>
      </c>
      <c r="AO306">
        <v>14819.76</v>
      </c>
      <c r="AP306">
        <v>0</v>
      </c>
      <c r="AQ306">
        <v>24</v>
      </c>
      <c r="AR306">
        <v>0</v>
      </c>
      <c r="AS306">
        <v>0</v>
      </c>
      <c r="AT306">
        <v>70</v>
      </c>
      <c r="AU306">
        <v>10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343</v>
      </c>
      <c r="BM306">
        <v>0</v>
      </c>
      <c r="BN306">
        <v>0</v>
      </c>
      <c r="BO306" t="s">
        <v>3</v>
      </c>
      <c r="BP306">
        <v>0</v>
      </c>
      <c r="BQ306">
        <v>1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70</v>
      </c>
      <c r="CA306">
        <v>10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304"/>
        <v>15025.29</v>
      </c>
      <c r="CQ306">
        <f t="shared" si="305"/>
        <v>205.53</v>
      </c>
      <c r="CR306">
        <f>((((ET306)*BB306-(EU306)*BS306)+AE306*BS306)*AV306)</f>
        <v>0</v>
      </c>
      <c r="CS306">
        <f t="shared" si="306"/>
        <v>0</v>
      </c>
      <c r="CT306">
        <f t="shared" si="307"/>
        <v>14819.76</v>
      </c>
      <c r="CU306">
        <f t="shared" si="308"/>
        <v>0</v>
      </c>
      <c r="CV306">
        <f t="shared" si="309"/>
        <v>24</v>
      </c>
      <c r="CW306">
        <f t="shared" si="310"/>
        <v>0</v>
      </c>
      <c r="CX306">
        <f t="shared" si="311"/>
        <v>0</v>
      </c>
      <c r="CY306">
        <f t="shared" si="312"/>
        <v>10373.832</v>
      </c>
      <c r="CZ306">
        <f t="shared" si="313"/>
        <v>1481.9760000000001</v>
      </c>
      <c r="DC306" t="s">
        <v>3</v>
      </c>
      <c r="DD306" t="s">
        <v>3</v>
      </c>
      <c r="DE306" t="s">
        <v>3</v>
      </c>
      <c r="DF306" t="s">
        <v>3</v>
      </c>
      <c r="DG306" t="s">
        <v>3</v>
      </c>
      <c r="DH306" t="s">
        <v>3</v>
      </c>
      <c r="DI306" t="s">
        <v>3</v>
      </c>
      <c r="DJ306" t="s">
        <v>3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16987630</v>
      </c>
      <c r="DV306" t="s">
        <v>31</v>
      </c>
      <c r="DW306" t="s">
        <v>31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1441815344</v>
      </c>
      <c r="EF306">
        <v>1</v>
      </c>
      <c r="EG306" t="s">
        <v>19</v>
      </c>
      <c r="EH306">
        <v>0</v>
      </c>
      <c r="EI306" t="s">
        <v>3</v>
      </c>
      <c r="EJ306">
        <v>4</v>
      </c>
      <c r="EK306">
        <v>0</v>
      </c>
      <c r="EL306" t="s">
        <v>20</v>
      </c>
      <c r="EM306" t="s">
        <v>21</v>
      </c>
      <c r="EO306" t="s">
        <v>3</v>
      </c>
      <c r="EQ306">
        <v>0</v>
      </c>
      <c r="ER306">
        <v>15025.29</v>
      </c>
      <c r="ES306">
        <v>205.53</v>
      </c>
      <c r="ET306">
        <v>0</v>
      </c>
      <c r="EU306">
        <v>0</v>
      </c>
      <c r="EV306">
        <v>14819.76</v>
      </c>
      <c r="EW306">
        <v>24</v>
      </c>
      <c r="EX306">
        <v>0</v>
      </c>
      <c r="EY306">
        <v>0</v>
      </c>
      <c r="FQ306">
        <v>0</v>
      </c>
      <c r="FR306">
        <f t="shared" si="314"/>
        <v>0</v>
      </c>
      <c r="FS306">
        <v>0</v>
      </c>
      <c r="FX306">
        <v>70</v>
      </c>
      <c r="FY306">
        <v>10</v>
      </c>
      <c r="GA306" t="s">
        <v>3</v>
      </c>
      <c r="GD306">
        <v>0</v>
      </c>
      <c r="GF306">
        <v>-835151889</v>
      </c>
      <c r="GG306">
        <v>2</v>
      </c>
      <c r="GH306">
        <v>1</v>
      </c>
      <c r="GI306">
        <v>-2</v>
      </c>
      <c r="GJ306">
        <v>0</v>
      </c>
      <c r="GK306">
        <f>ROUND(R306*(R12)/100,2)</f>
        <v>0</v>
      </c>
      <c r="GL306">
        <f t="shared" si="315"/>
        <v>0</v>
      </c>
      <c r="GM306">
        <f t="shared" si="316"/>
        <v>26881.1</v>
      </c>
      <c r="GN306">
        <f t="shared" si="317"/>
        <v>0</v>
      </c>
      <c r="GO306">
        <f t="shared" si="318"/>
        <v>0</v>
      </c>
      <c r="GP306">
        <f t="shared" si="319"/>
        <v>26881.1</v>
      </c>
      <c r="GR306">
        <v>0</v>
      </c>
      <c r="GS306">
        <v>3</v>
      </c>
      <c r="GT306">
        <v>0</v>
      </c>
      <c r="GU306" t="s">
        <v>3</v>
      </c>
      <c r="GV306">
        <f t="shared" si="320"/>
        <v>0</v>
      </c>
      <c r="GW306">
        <v>1</v>
      </c>
      <c r="GX306">
        <f t="shared" si="321"/>
        <v>0</v>
      </c>
      <c r="HA306">
        <v>0</v>
      </c>
      <c r="HB306">
        <v>0</v>
      </c>
      <c r="HC306">
        <f t="shared" si="322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D307">
        <f>ROW(EtalonRes!A272)</f>
        <v>272</v>
      </c>
      <c r="E307" t="s">
        <v>3</v>
      </c>
      <c r="F307" t="s">
        <v>344</v>
      </c>
      <c r="G307" t="s">
        <v>345</v>
      </c>
      <c r="H307" t="s">
        <v>31</v>
      </c>
      <c r="I307">
        <v>1</v>
      </c>
      <c r="J307">
        <v>0</v>
      </c>
      <c r="K307">
        <v>1</v>
      </c>
      <c r="O307">
        <f t="shared" si="290"/>
        <v>1484.19</v>
      </c>
      <c r="P307">
        <f t="shared" si="291"/>
        <v>2.2200000000000002</v>
      </c>
      <c r="Q307">
        <f t="shared" si="292"/>
        <v>0</v>
      </c>
      <c r="R307">
        <f t="shared" si="293"/>
        <v>0</v>
      </c>
      <c r="S307">
        <f t="shared" si="294"/>
        <v>1481.97</v>
      </c>
      <c r="T307">
        <f t="shared" si="295"/>
        <v>0</v>
      </c>
      <c r="U307">
        <f t="shared" si="296"/>
        <v>2.4000000000000004</v>
      </c>
      <c r="V307">
        <f t="shared" si="297"/>
        <v>0</v>
      </c>
      <c r="W307">
        <f t="shared" si="298"/>
        <v>0</v>
      </c>
      <c r="X307">
        <f t="shared" si="299"/>
        <v>1037.3800000000001</v>
      </c>
      <c r="Y307">
        <f t="shared" si="300"/>
        <v>148.19999999999999</v>
      </c>
      <c r="AA307">
        <v>-1</v>
      </c>
      <c r="AB307">
        <f t="shared" si="301"/>
        <v>1484.19</v>
      </c>
      <c r="AC307">
        <f>ROUND(((ES307*3)),6)</f>
        <v>2.2200000000000002</v>
      </c>
      <c r="AD307">
        <f>ROUND(((((ET307*3))-((EU307*3)))+AE307),6)</f>
        <v>0</v>
      </c>
      <c r="AE307">
        <f>ROUND(((EU307*3)),6)</f>
        <v>0</v>
      </c>
      <c r="AF307">
        <f>ROUND(((EV307*3)),6)</f>
        <v>1481.97</v>
      </c>
      <c r="AG307">
        <f t="shared" si="302"/>
        <v>0</v>
      </c>
      <c r="AH307">
        <f>((EW307*3))</f>
        <v>2.4000000000000004</v>
      </c>
      <c r="AI307">
        <f>((EX307*3))</f>
        <v>0</v>
      </c>
      <c r="AJ307">
        <f t="shared" si="303"/>
        <v>0</v>
      </c>
      <c r="AK307">
        <v>494.73</v>
      </c>
      <c r="AL307">
        <v>0.74</v>
      </c>
      <c r="AM307">
        <v>0</v>
      </c>
      <c r="AN307">
        <v>0</v>
      </c>
      <c r="AO307">
        <v>493.99</v>
      </c>
      <c r="AP307">
        <v>0</v>
      </c>
      <c r="AQ307">
        <v>0.8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346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 t="shared" si="304"/>
        <v>1484.19</v>
      </c>
      <c r="CQ307">
        <f t="shared" si="305"/>
        <v>2.2200000000000002</v>
      </c>
      <c r="CR307">
        <f>(((((ET307*3))*BB307-((EU307*3))*BS307)+AE307*BS307)*AV307)</f>
        <v>0</v>
      </c>
      <c r="CS307">
        <f t="shared" si="306"/>
        <v>0</v>
      </c>
      <c r="CT307">
        <f t="shared" si="307"/>
        <v>1481.97</v>
      </c>
      <c r="CU307">
        <f t="shared" si="308"/>
        <v>0</v>
      </c>
      <c r="CV307">
        <f t="shared" si="309"/>
        <v>2.4000000000000004</v>
      </c>
      <c r="CW307">
        <f t="shared" si="310"/>
        <v>0</v>
      </c>
      <c r="CX307">
        <f t="shared" si="311"/>
        <v>0</v>
      </c>
      <c r="CY307">
        <f t="shared" si="312"/>
        <v>1037.3790000000001</v>
      </c>
      <c r="CZ307">
        <f t="shared" si="313"/>
        <v>148.197</v>
      </c>
      <c r="DC307" t="s">
        <v>3</v>
      </c>
      <c r="DD307" t="s">
        <v>325</v>
      </c>
      <c r="DE307" t="s">
        <v>325</v>
      </c>
      <c r="DF307" t="s">
        <v>325</v>
      </c>
      <c r="DG307" t="s">
        <v>325</v>
      </c>
      <c r="DH307" t="s">
        <v>3</v>
      </c>
      <c r="DI307" t="s">
        <v>325</v>
      </c>
      <c r="DJ307" t="s">
        <v>325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16987630</v>
      </c>
      <c r="DV307" t="s">
        <v>31</v>
      </c>
      <c r="DW307" t="s">
        <v>31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19</v>
      </c>
      <c r="EH307">
        <v>0</v>
      </c>
      <c r="EI307" t="s">
        <v>3</v>
      </c>
      <c r="EJ307">
        <v>4</v>
      </c>
      <c r="EK307">
        <v>0</v>
      </c>
      <c r="EL307" t="s">
        <v>20</v>
      </c>
      <c r="EM307" t="s">
        <v>21</v>
      </c>
      <c r="EO307" t="s">
        <v>3</v>
      </c>
      <c r="EQ307">
        <v>1024</v>
      </c>
      <c r="ER307">
        <v>494.73</v>
      </c>
      <c r="ES307">
        <v>0.74</v>
      </c>
      <c r="ET307">
        <v>0</v>
      </c>
      <c r="EU307">
        <v>0</v>
      </c>
      <c r="EV307">
        <v>493.99</v>
      </c>
      <c r="EW307">
        <v>0.8</v>
      </c>
      <c r="EX307">
        <v>0</v>
      </c>
      <c r="EY307">
        <v>0</v>
      </c>
      <c r="FQ307">
        <v>0</v>
      </c>
      <c r="FR307">
        <f t="shared" si="314"/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-1912802092</v>
      </c>
      <c r="GG307">
        <v>2</v>
      </c>
      <c r="GH307">
        <v>1</v>
      </c>
      <c r="GI307">
        <v>-2</v>
      </c>
      <c r="GJ307">
        <v>0</v>
      </c>
      <c r="GK307">
        <f>ROUND(R307*(R12)/100,2)</f>
        <v>0</v>
      </c>
      <c r="GL307">
        <f t="shared" si="315"/>
        <v>0</v>
      </c>
      <c r="GM307">
        <f t="shared" si="316"/>
        <v>2669.77</v>
      </c>
      <c r="GN307">
        <f t="shared" si="317"/>
        <v>0</v>
      </c>
      <c r="GO307">
        <f t="shared" si="318"/>
        <v>0</v>
      </c>
      <c r="GP307">
        <f t="shared" si="319"/>
        <v>2669.77</v>
      </c>
      <c r="GR307">
        <v>0</v>
      </c>
      <c r="GS307">
        <v>3</v>
      </c>
      <c r="GT307">
        <v>0</v>
      </c>
      <c r="GU307" t="s">
        <v>3</v>
      </c>
      <c r="GV307">
        <f t="shared" si="320"/>
        <v>0</v>
      </c>
      <c r="GW307">
        <v>1</v>
      </c>
      <c r="GX307">
        <f t="shared" si="321"/>
        <v>0</v>
      </c>
      <c r="HA307">
        <v>0</v>
      </c>
      <c r="HB307">
        <v>0</v>
      </c>
      <c r="HC307">
        <f t="shared" si="322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D308">
        <f>ROW(EtalonRes!A274)</f>
        <v>274</v>
      </c>
      <c r="E308" t="s">
        <v>347</v>
      </c>
      <c r="F308" t="s">
        <v>348</v>
      </c>
      <c r="G308" t="s">
        <v>349</v>
      </c>
      <c r="H308" t="s">
        <v>31</v>
      </c>
      <c r="I308">
        <f>ROUND(ROUND(2+1,9),9)</f>
        <v>3</v>
      </c>
      <c r="J308">
        <v>0</v>
      </c>
      <c r="K308">
        <f>ROUND(ROUND(2+1,9),9)</f>
        <v>3</v>
      </c>
      <c r="O308">
        <f t="shared" si="290"/>
        <v>1016.64</v>
      </c>
      <c r="P308">
        <f t="shared" si="291"/>
        <v>4.71</v>
      </c>
      <c r="Q308">
        <f t="shared" si="292"/>
        <v>0</v>
      </c>
      <c r="R308">
        <f t="shared" si="293"/>
        <v>0</v>
      </c>
      <c r="S308">
        <f t="shared" si="294"/>
        <v>1011.93</v>
      </c>
      <c r="T308">
        <f t="shared" si="295"/>
        <v>0</v>
      </c>
      <c r="U308">
        <f t="shared" si="296"/>
        <v>1.7999999999999998</v>
      </c>
      <c r="V308">
        <f t="shared" si="297"/>
        <v>0</v>
      </c>
      <c r="W308">
        <f t="shared" si="298"/>
        <v>0</v>
      </c>
      <c r="X308">
        <f t="shared" si="299"/>
        <v>708.35</v>
      </c>
      <c r="Y308">
        <f t="shared" si="300"/>
        <v>101.19</v>
      </c>
      <c r="AA308">
        <v>1471988752</v>
      </c>
      <c r="AB308">
        <f t="shared" si="301"/>
        <v>338.88</v>
      </c>
      <c r="AC308">
        <f>ROUND((ES308),6)</f>
        <v>1.57</v>
      </c>
      <c r="AD308">
        <f>ROUND((((ET308)-(EU308))+AE308),6)</f>
        <v>0</v>
      </c>
      <c r="AE308">
        <f>ROUND((EU308),6)</f>
        <v>0</v>
      </c>
      <c r="AF308">
        <f>ROUND((EV308),6)</f>
        <v>337.31</v>
      </c>
      <c r="AG308">
        <f t="shared" si="302"/>
        <v>0</v>
      </c>
      <c r="AH308">
        <f>(EW308)</f>
        <v>0.6</v>
      </c>
      <c r="AI308">
        <f>(EX308)</f>
        <v>0</v>
      </c>
      <c r="AJ308">
        <f t="shared" si="303"/>
        <v>0</v>
      </c>
      <c r="AK308">
        <v>338.88</v>
      </c>
      <c r="AL308">
        <v>1.57</v>
      </c>
      <c r="AM308">
        <v>0</v>
      </c>
      <c r="AN308">
        <v>0</v>
      </c>
      <c r="AO308">
        <v>337.31</v>
      </c>
      <c r="AP308">
        <v>0</v>
      </c>
      <c r="AQ308">
        <v>0.6</v>
      </c>
      <c r="AR308">
        <v>0</v>
      </c>
      <c r="AS308">
        <v>0</v>
      </c>
      <c r="AT308">
        <v>70</v>
      </c>
      <c r="AU308">
        <v>10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4</v>
      </c>
      <c r="BJ308" t="s">
        <v>350</v>
      </c>
      <c r="BM308">
        <v>0</v>
      </c>
      <c r="BN308">
        <v>0</v>
      </c>
      <c r="BO308" t="s">
        <v>3</v>
      </c>
      <c r="BP308">
        <v>0</v>
      </c>
      <c r="BQ308">
        <v>1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70</v>
      </c>
      <c r="CA308">
        <v>10</v>
      </c>
      <c r="CB308" t="s">
        <v>3</v>
      </c>
      <c r="CE308">
        <v>0</v>
      </c>
      <c r="CF308">
        <v>0</v>
      </c>
      <c r="CG308">
        <v>0</v>
      </c>
      <c r="CM308">
        <v>0</v>
      </c>
      <c r="CN308" t="s">
        <v>3</v>
      </c>
      <c r="CO308">
        <v>0</v>
      </c>
      <c r="CP308">
        <f t="shared" si="304"/>
        <v>1016.64</v>
      </c>
      <c r="CQ308">
        <f t="shared" si="305"/>
        <v>1.57</v>
      </c>
      <c r="CR308">
        <f>((((ET308)*BB308-(EU308)*BS308)+AE308*BS308)*AV308)</f>
        <v>0</v>
      </c>
      <c r="CS308">
        <f t="shared" si="306"/>
        <v>0</v>
      </c>
      <c r="CT308">
        <f t="shared" si="307"/>
        <v>337.31</v>
      </c>
      <c r="CU308">
        <f t="shared" si="308"/>
        <v>0</v>
      </c>
      <c r="CV308">
        <f t="shared" si="309"/>
        <v>0.6</v>
      </c>
      <c r="CW308">
        <f t="shared" si="310"/>
        <v>0</v>
      </c>
      <c r="CX308">
        <f t="shared" si="311"/>
        <v>0</v>
      </c>
      <c r="CY308">
        <f t="shared" si="312"/>
        <v>708.35099999999989</v>
      </c>
      <c r="CZ308">
        <f t="shared" si="313"/>
        <v>101.193</v>
      </c>
      <c r="DC308" t="s">
        <v>3</v>
      </c>
      <c r="DD308" t="s">
        <v>3</v>
      </c>
      <c r="DE308" t="s">
        <v>3</v>
      </c>
      <c r="DF308" t="s">
        <v>3</v>
      </c>
      <c r="DG308" t="s">
        <v>3</v>
      </c>
      <c r="DH308" t="s">
        <v>3</v>
      </c>
      <c r="DI308" t="s">
        <v>3</v>
      </c>
      <c r="DJ308" t="s">
        <v>3</v>
      </c>
      <c r="DK308" t="s">
        <v>3</v>
      </c>
      <c r="DL308" t="s">
        <v>3</v>
      </c>
      <c r="DM308" t="s">
        <v>3</v>
      </c>
      <c r="DN308">
        <v>0</v>
      </c>
      <c r="DO308">
        <v>0</v>
      </c>
      <c r="DP308">
        <v>1</v>
      </c>
      <c r="DQ308">
        <v>1</v>
      </c>
      <c r="DU308">
        <v>16987630</v>
      </c>
      <c r="DV308" t="s">
        <v>31</v>
      </c>
      <c r="DW308" t="s">
        <v>31</v>
      </c>
      <c r="DX308">
        <v>1</v>
      </c>
      <c r="DZ308" t="s">
        <v>3</v>
      </c>
      <c r="EA308" t="s">
        <v>3</v>
      </c>
      <c r="EB308" t="s">
        <v>3</v>
      </c>
      <c r="EC308" t="s">
        <v>3</v>
      </c>
      <c r="EE308">
        <v>1441815344</v>
      </c>
      <c r="EF308">
        <v>1</v>
      </c>
      <c r="EG308" t="s">
        <v>19</v>
      </c>
      <c r="EH308">
        <v>0</v>
      </c>
      <c r="EI308" t="s">
        <v>3</v>
      </c>
      <c r="EJ308">
        <v>4</v>
      </c>
      <c r="EK308">
        <v>0</v>
      </c>
      <c r="EL308" t="s">
        <v>20</v>
      </c>
      <c r="EM308" t="s">
        <v>21</v>
      </c>
      <c r="EO308" t="s">
        <v>3</v>
      </c>
      <c r="EQ308">
        <v>0</v>
      </c>
      <c r="ER308">
        <v>338.88</v>
      </c>
      <c r="ES308">
        <v>1.57</v>
      </c>
      <c r="ET308">
        <v>0</v>
      </c>
      <c r="EU308">
        <v>0</v>
      </c>
      <c r="EV308">
        <v>337.31</v>
      </c>
      <c r="EW308">
        <v>0.6</v>
      </c>
      <c r="EX308">
        <v>0</v>
      </c>
      <c r="EY308">
        <v>0</v>
      </c>
      <c r="FQ308">
        <v>0</v>
      </c>
      <c r="FR308">
        <f t="shared" si="314"/>
        <v>0</v>
      </c>
      <c r="FS308">
        <v>0</v>
      </c>
      <c r="FX308">
        <v>70</v>
      </c>
      <c r="FY308">
        <v>10</v>
      </c>
      <c r="GA308" t="s">
        <v>3</v>
      </c>
      <c r="GD308">
        <v>0</v>
      </c>
      <c r="GF308">
        <v>595984218</v>
      </c>
      <c r="GG308">
        <v>2</v>
      </c>
      <c r="GH308">
        <v>1</v>
      </c>
      <c r="GI308">
        <v>-2</v>
      </c>
      <c r="GJ308">
        <v>0</v>
      </c>
      <c r="GK308">
        <f>ROUND(R308*(R12)/100,2)</f>
        <v>0</v>
      </c>
      <c r="GL308">
        <f t="shared" si="315"/>
        <v>0</v>
      </c>
      <c r="GM308">
        <f t="shared" si="316"/>
        <v>1826.18</v>
      </c>
      <c r="GN308">
        <f t="shared" si="317"/>
        <v>0</v>
      </c>
      <c r="GO308">
        <f t="shared" si="318"/>
        <v>0</v>
      </c>
      <c r="GP308">
        <f t="shared" si="319"/>
        <v>1826.18</v>
      </c>
      <c r="GR308">
        <v>0</v>
      </c>
      <c r="GS308">
        <v>3</v>
      </c>
      <c r="GT308">
        <v>0</v>
      </c>
      <c r="GU308" t="s">
        <v>3</v>
      </c>
      <c r="GV308">
        <f t="shared" si="320"/>
        <v>0</v>
      </c>
      <c r="GW308">
        <v>1</v>
      </c>
      <c r="GX308">
        <f t="shared" si="321"/>
        <v>0</v>
      </c>
      <c r="HA308">
        <v>0</v>
      </c>
      <c r="HB308">
        <v>0</v>
      </c>
      <c r="HC308">
        <f t="shared" si="322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09" spans="1:245" x14ac:dyDescent="0.2">
      <c r="A309">
        <v>17</v>
      </c>
      <c r="B309">
        <v>1</v>
      </c>
      <c r="D309">
        <f>ROW(EtalonRes!A275)</f>
        <v>275</v>
      </c>
      <c r="E309" t="s">
        <v>3</v>
      </c>
      <c r="F309" t="s">
        <v>351</v>
      </c>
      <c r="G309" t="s">
        <v>352</v>
      </c>
      <c r="H309" t="s">
        <v>31</v>
      </c>
      <c r="I309">
        <f>ROUND(ROUND(2+1,9),9)</f>
        <v>3</v>
      </c>
      <c r="J309">
        <v>0</v>
      </c>
      <c r="K309">
        <f>ROUND(ROUND(2+1,9),9)</f>
        <v>3</v>
      </c>
      <c r="O309">
        <f t="shared" si="290"/>
        <v>851.52</v>
      </c>
      <c r="P309">
        <f t="shared" si="291"/>
        <v>0</v>
      </c>
      <c r="Q309">
        <f t="shared" si="292"/>
        <v>0</v>
      </c>
      <c r="R309">
        <f t="shared" si="293"/>
        <v>0</v>
      </c>
      <c r="S309">
        <f t="shared" si="294"/>
        <v>851.52</v>
      </c>
      <c r="T309">
        <f t="shared" si="295"/>
        <v>0</v>
      </c>
      <c r="U309">
        <f t="shared" si="296"/>
        <v>1.6800000000000002</v>
      </c>
      <c r="V309">
        <f t="shared" si="297"/>
        <v>0</v>
      </c>
      <c r="W309">
        <f t="shared" si="298"/>
        <v>0</v>
      </c>
      <c r="X309">
        <f t="shared" si="299"/>
        <v>596.05999999999995</v>
      </c>
      <c r="Y309">
        <f t="shared" si="300"/>
        <v>85.15</v>
      </c>
      <c r="AA309">
        <v>-1</v>
      </c>
      <c r="AB309">
        <f t="shared" si="301"/>
        <v>283.83999999999997</v>
      </c>
      <c r="AC309">
        <f>ROUND(((ES309*4)),6)</f>
        <v>0</v>
      </c>
      <c r="AD309">
        <f>ROUND(((((ET309*4))-((EU309*4)))+AE309),6)</f>
        <v>0</v>
      </c>
      <c r="AE309">
        <f>ROUND(((EU309*4)),6)</f>
        <v>0</v>
      </c>
      <c r="AF309">
        <f>ROUND(((EV309*4)),6)</f>
        <v>283.83999999999997</v>
      </c>
      <c r="AG309">
        <f t="shared" si="302"/>
        <v>0</v>
      </c>
      <c r="AH309">
        <f>((EW309*4))</f>
        <v>0.56000000000000005</v>
      </c>
      <c r="AI309">
        <f>((EX309*4))</f>
        <v>0</v>
      </c>
      <c r="AJ309">
        <f t="shared" si="303"/>
        <v>0</v>
      </c>
      <c r="AK309">
        <v>70.959999999999994</v>
      </c>
      <c r="AL309">
        <v>0</v>
      </c>
      <c r="AM309">
        <v>0</v>
      </c>
      <c r="AN309">
        <v>0</v>
      </c>
      <c r="AO309">
        <v>70.959999999999994</v>
      </c>
      <c r="AP309">
        <v>0</v>
      </c>
      <c r="AQ309">
        <v>0.14000000000000001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353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 t="shared" si="304"/>
        <v>851.52</v>
      </c>
      <c r="CQ309">
        <f t="shared" si="305"/>
        <v>0</v>
      </c>
      <c r="CR309">
        <f>(((((ET309*4))*BB309-((EU309*4))*BS309)+AE309*BS309)*AV309)</f>
        <v>0</v>
      </c>
      <c r="CS309">
        <f t="shared" si="306"/>
        <v>0</v>
      </c>
      <c r="CT309">
        <f t="shared" si="307"/>
        <v>283.83999999999997</v>
      </c>
      <c r="CU309">
        <f t="shared" si="308"/>
        <v>0</v>
      </c>
      <c r="CV309">
        <f t="shared" si="309"/>
        <v>0.56000000000000005</v>
      </c>
      <c r="CW309">
        <f t="shared" si="310"/>
        <v>0</v>
      </c>
      <c r="CX309">
        <f t="shared" si="311"/>
        <v>0</v>
      </c>
      <c r="CY309">
        <f t="shared" si="312"/>
        <v>596.06399999999996</v>
      </c>
      <c r="CZ309">
        <f t="shared" si="313"/>
        <v>85.152000000000001</v>
      </c>
      <c r="DC309" t="s">
        <v>3</v>
      </c>
      <c r="DD309" t="s">
        <v>25</v>
      </c>
      <c r="DE309" t="s">
        <v>25</v>
      </c>
      <c r="DF309" t="s">
        <v>25</v>
      </c>
      <c r="DG309" t="s">
        <v>25</v>
      </c>
      <c r="DH309" t="s">
        <v>3</v>
      </c>
      <c r="DI309" t="s">
        <v>25</v>
      </c>
      <c r="DJ309" t="s">
        <v>25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16987630</v>
      </c>
      <c r="DV309" t="s">
        <v>31</v>
      </c>
      <c r="DW309" t="s">
        <v>31</v>
      </c>
      <c r="DX309">
        <v>1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19</v>
      </c>
      <c r="EH309">
        <v>0</v>
      </c>
      <c r="EI309" t="s">
        <v>3</v>
      </c>
      <c r="EJ309">
        <v>4</v>
      </c>
      <c r="EK309">
        <v>0</v>
      </c>
      <c r="EL309" t="s">
        <v>20</v>
      </c>
      <c r="EM309" t="s">
        <v>21</v>
      </c>
      <c r="EO309" t="s">
        <v>3</v>
      </c>
      <c r="EQ309">
        <v>1024</v>
      </c>
      <c r="ER309">
        <v>70.959999999999994</v>
      </c>
      <c r="ES309">
        <v>0</v>
      </c>
      <c r="ET309">
        <v>0</v>
      </c>
      <c r="EU309">
        <v>0</v>
      </c>
      <c r="EV309">
        <v>70.959999999999994</v>
      </c>
      <c r="EW309">
        <v>0.14000000000000001</v>
      </c>
      <c r="EX309">
        <v>0</v>
      </c>
      <c r="EY309">
        <v>0</v>
      </c>
      <c r="FQ309">
        <v>0</v>
      </c>
      <c r="FR309">
        <f t="shared" si="314"/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-1648066009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 t="shared" si="315"/>
        <v>0</v>
      </c>
      <c r="GM309">
        <f t="shared" si="316"/>
        <v>1532.73</v>
      </c>
      <c r="GN309">
        <f t="shared" si="317"/>
        <v>0</v>
      </c>
      <c r="GO309">
        <f t="shared" si="318"/>
        <v>0</v>
      </c>
      <c r="GP309">
        <f t="shared" si="319"/>
        <v>1532.73</v>
      </c>
      <c r="GR309">
        <v>0</v>
      </c>
      <c r="GS309">
        <v>3</v>
      </c>
      <c r="GT309">
        <v>0</v>
      </c>
      <c r="GU309" t="s">
        <v>3</v>
      </c>
      <c r="GV309">
        <f t="shared" si="320"/>
        <v>0</v>
      </c>
      <c r="GW309">
        <v>1</v>
      </c>
      <c r="GX309">
        <f t="shared" si="321"/>
        <v>0</v>
      </c>
      <c r="HA309">
        <v>0</v>
      </c>
      <c r="HB309">
        <v>0</v>
      </c>
      <c r="HC309">
        <f t="shared" si="322"/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D310">
        <f>ROW(EtalonRes!A276)</f>
        <v>276</v>
      </c>
      <c r="E310" t="s">
        <v>3</v>
      </c>
      <c r="F310" t="s">
        <v>354</v>
      </c>
      <c r="G310" t="s">
        <v>355</v>
      </c>
      <c r="H310" t="s">
        <v>31</v>
      </c>
      <c r="I310">
        <f>ROUND(ROUND(2+1,9),9)</f>
        <v>3</v>
      </c>
      <c r="J310">
        <v>0</v>
      </c>
      <c r="K310">
        <f>ROUND(ROUND(2+1,9),9)</f>
        <v>3</v>
      </c>
      <c r="O310">
        <f t="shared" si="290"/>
        <v>14354.7</v>
      </c>
      <c r="P310">
        <f t="shared" si="291"/>
        <v>0</v>
      </c>
      <c r="Q310">
        <f t="shared" si="292"/>
        <v>0</v>
      </c>
      <c r="R310">
        <f t="shared" si="293"/>
        <v>0</v>
      </c>
      <c r="S310">
        <f t="shared" si="294"/>
        <v>14354.7</v>
      </c>
      <c r="T310">
        <f t="shared" si="295"/>
        <v>0</v>
      </c>
      <c r="U310">
        <f t="shared" si="296"/>
        <v>28.32</v>
      </c>
      <c r="V310">
        <f t="shared" si="297"/>
        <v>0</v>
      </c>
      <c r="W310">
        <f t="shared" si="298"/>
        <v>0</v>
      </c>
      <c r="X310">
        <f t="shared" si="299"/>
        <v>10048.290000000001</v>
      </c>
      <c r="Y310">
        <f t="shared" si="300"/>
        <v>1435.47</v>
      </c>
      <c r="AA310">
        <v>-1</v>
      </c>
      <c r="AB310">
        <f t="shared" si="301"/>
        <v>4784.8999999999996</v>
      </c>
      <c r="AC310">
        <f>ROUND(((ES310*118)),6)</f>
        <v>0</v>
      </c>
      <c r="AD310">
        <f>ROUND(((((ET310*118))-((EU310*118)))+AE310),6)</f>
        <v>0</v>
      </c>
      <c r="AE310">
        <f>ROUND(((EU310*118)),6)</f>
        <v>0</v>
      </c>
      <c r="AF310">
        <f>ROUND(((EV310*118)),6)</f>
        <v>4784.8999999999996</v>
      </c>
      <c r="AG310">
        <f t="shared" si="302"/>
        <v>0</v>
      </c>
      <c r="AH310">
        <f>((EW310*118))</f>
        <v>9.44</v>
      </c>
      <c r="AI310">
        <f>((EX310*118))</f>
        <v>0</v>
      </c>
      <c r="AJ310">
        <f t="shared" si="303"/>
        <v>0</v>
      </c>
      <c r="AK310">
        <v>40.549999999999997</v>
      </c>
      <c r="AL310">
        <v>0</v>
      </c>
      <c r="AM310">
        <v>0</v>
      </c>
      <c r="AN310">
        <v>0</v>
      </c>
      <c r="AO310">
        <v>40.549999999999997</v>
      </c>
      <c r="AP310">
        <v>0</v>
      </c>
      <c r="AQ310">
        <v>0.08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356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 t="shared" si="304"/>
        <v>14354.7</v>
      </c>
      <c r="CQ310">
        <f t="shared" si="305"/>
        <v>0</v>
      </c>
      <c r="CR310">
        <f>(((((ET310*118))*BB310-((EU310*118))*BS310)+AE310*BS310)*AV310)</f>
        <v>0</v>
      </c>
      <c r="CS310">
        <f t="shared" si="306"/>
        <v>0</v>
      </c>
      <c r="CT310">
        <f t="shared" si="307"/>
        <v>4784.8999999999996</v>
      </c>
      <c r="CU310">
        <f t="shared" si="308"/>
        <v>0</v>
      </c>
      <c r="CV310">
        <f t="shared" si="309"/>
        <v>9.44</v>
      </c>
      <c r="CW310">
        <f t="shared" si="310"/>
        <v>0</v>
      </c>
      <c r="CX310">
        <f t="shared" si="311"/>
        <v>0</v>
      </c>
      <c r="CY310">
        <f t="shared" si="312"/>
        <v>10048.290000000001</v>
      </c>
      <c r="CZ310">
        <f t="shared" si="313"/>
        <v>1435.47</v>
      </c>
      <c r="DC310" t="s">
        <v>3</v>
      </c>
      <c r="DD310" t="s">
        <v>357</v>
      </c>
      <c r="DE310" t="s">
        <v>357</v>
      </c>
      <c r="DF310" t="s">
        <v>357</v>
      </c>
      <c r="DG310" t="s">
        <v>357</v>
      </c>
      <c r="DH310" t="s">
        <v>3</v>
      </c>
      <c r="DI310" t="s">
        <v>357</v>
      </c>
      <c r="DJ310" t="s">
        <v>357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16987630</v>
      </c>
      <c r="DV310" t="s">
        <v>31</v>
      </c>
      <c r="DW310" t="s">
        <v>31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19</v>
      </c>
      <c r="EH310">
        <v>0</v>
      </c>
      <c r="EI310" t="s">
        <v>3</v>
      </c>
      <c r="EJ310">
        <v>4</v>
      </c>
      <c r="EK310">
        <v>0</v>
      </c>
      <c r="EL310" t="s">
        <v>20</v>
      </c>
      <c r="EM310" t="s">
        <v>21</v>
      </c>
      <c r="EO310" t="s">
        <v>3</v>
      </c>
      <c r="EQ310">
        <v>1311744</v>
      </c>
      <c r="ER310">
        <v>40.549999999999997</v>
      </c>
      <c r="ES310">
        <v>0</v>
      </c>
      <c r="ET310">
        <v>0</v>
      </c>
      <c r="EU310">
        <v>0</v>
      </c>
      <c r="EV310">
        <v>40.549999999999997</v>
      </c>
      <c r="EW310">
        <v>0.08</v>
      </c>
      <c r="EX310">
        <v>0</v>
      </c>
      <c r="EY310">
        <v>0</v>
      </c>
      <c r="FQ310">
        <v>0</v>
      </c>
      <c r="FR310">
        <f t="shared" si="314"/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-760003618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</v>
      </c>
      <c r="GL310">
        <f t="shared" si="315"/>
        <v>0</v>
      </c>
      <c r="GM310">
        <f t="shared" si="316"/>
        <v>25838.46</v>
      </c>
      <c r="GN310">
        <f t="shared" si="317"/>
        <v>0</v>
      </c>
      <c r="GO310">
        <f t="shared" si="318"/>
        <v>0</v>
      </c>
      <c r="GP310">
        <f t="shared" si="319"/>
        <v>25838.46</v>
      </c>
      <c r="GR310">
        <v>0</v>
      </c>
      <c r="GS310">
        <v>3</v>
      </c>
      <c r="GT310">
        <v>0</v>
      </c>
      <c r="GU310" t="s">
        <v>3</v>
      </c>
      <c r="GV310">
        <f t="shared" si="320"/>
        <v>0</v>
      </c>
      <c r="GW310">
        <v>1</v>
      </c>
      <c r="GX310">
        <f t="shared" si="321"/>
        <v>0</v>
      </c>
      <c r="HA310">
        <v>0</v>
      </c>
      <c r="HB310">
        <v>0</v>
      </c>
      <c r="HC310">
        <f t="shared" si="322"/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17</v>
      </c>
      <c r="B311">
        <v>1</v>
      </c>
      <c r="D311">
        <f>ROW(EtalonRes!A281)</f>
        <v>281</v>
      </c>
      <c r="E311" t="s">
        <v>358</v>
      </c>
      <c r="F311" t="s">
        <v>359</v>
      </c>
      <c r="G311" t="s">
        <v>360</v>
      </c>
      <c r="H311" t="s">
        <v>31</v>
      </c>
      <c r="I311">
        <v>1</v>
      </c>
      <c r="J311">
        <v>0</v>
      </c>
      <c r="K311">
        <v>1</v>
      </c>
      <c r="O311">
        <f t="shared" si="290"/>
        <v>1878.16</v>
      </c>
      <c r="P311">
        <f t="shared" si="291"/>
        <v>25.69</v>
      </c>
      <c r="Q311">
        <f t="shared" si="292"/>
        <v>0</v>
      </c>
      <c r="R311">
        <f t="shared" si="293"/>
        <v>0</v>
      </c>
      <c r="S311">
        <f t="shared" si="294"/>
        <v>1852.47</v>
      </c>
      <c r="T311">
        <f t="shared" si="295"/>
        <v>0</v>
      </c>
      <c r="U311">
        <f t="shared" si="296"/>
        <v>3</v>
      </c>
      <c r="V311">
        <f t="shared" si="297"/>
        <v>0</v>
      </c>
      <c r="W311">
        <f t="shared" si="298"/>
        <v>0</v>
      </c>
      <c r="X311">
        <f t="shared" si="299"/>
        <v>1296.73</v>
      </c>
      <c r="Y311">
        <f t="shared" si="300"/>
        <v>185.25</v>
      </c>
      <c r="AA311">
        <v>1471988752</v>
      </c>
      <c r="AB311">
        <f t="shared" si="301"/>
        <v>1878.16</v>
      </c>
      <c r="AC311">
        <f>ROUND((ES311),6)</f>
        <v>25.69</v>
      </c>
      <c r="AD311">
        <f>ROUND((((ET311)-(EU311))+AE311),6)</f>
        <v>0</v>
      </c>
      <c r="AE311">
        <f>ROUND((EU311),6)</f>
        <v>0</v>
      </c>
      <c r="AF311">
        <f>ROUND((EV311),6)</f>
        <v>1852.47</v>
      </c>
      <c r="AG311">
        <f t="shared" si="302"/>
        <v>0</v>
      </c>
      <c r="AH311">
        <f>(EW311)</f>
        <v>3</v>
      </c>
      <c r="AI311">
        <f>(EX311)</f>
        <v>0</v>
      </c>
      <c r="AJ311">
        <f t="shared" si="303"/>
        <v>0</v>
      </c>
      <c r="AK311">
        <v>1878.16</v>
      </c>
      <c r="AL311">
        <v>25.69</v>
      </c>
      <c r="AM311">
        <v>0</v>
      </c>
      <c r="AN311">
        <v>0</v>
      </c>
      <c r="AO311">
        <v>1852.47</v>
      </c>
      <c r="AP311">
        <v>0</v>
      </c>
      <c r="AQ311">
        <v>3</v>
      </c>
      <c r="AR311">
        <v>0</v>
      </c>
      <c r="AS311">
        <v>0</v>
      </c>
      <c r="AT311">
        <v>70</v>
      </c>
      <c r="AU311">
        <v>10</v>
      </c>
      <c r="AV311">
        <v>1</v>
      </c>
      <c r="AW311">
        <v>1</v>
      </c>
      <c r="AZ311">
        <v>1</v>
      </c>
      <c r="BA311">
        <v>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4</v>
      </c>
      <c r="BJ311" t="s">
        <v>361</v>
      </c>
      <c r="BM311">
        <v>0</v>
      </c>
      <c r="BN311">
        <v>0</v>
      </c>
      <c r="BO311" t="s">
        <v>3</v>
      </c>
      <c r="BP311">
        <v>0</v>
      </c>
      <c r="BQ311">
        <v>1</v>
      </c>
      <c r="BR311">
        <v>0</v>
      </c>
      <c r="BS311">
        <v>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10</v>
      </c>
      <c r="CB311" t="s">
        <v>3</v>
      </c>
      <c r="CE311">
        <v>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 t="shared" si="304"/>
        <v>1878.16</v>
      </c>
      <c r="CQ311">
        <f t="shared" si="305"/>
        <v>25.69</v>
      </c>
      <c r="CR311">
        <f>((((ET311)*BB311-(EU311)*BS311)+AE311*BS311)*AV311)</f>
        <v>0</v>
      </c>
      <c r="CS311">
        <f t="shared" si="306"/>
        <v>0</v>
      </c>
      <c r="CT311">
        <f t="shared" si="307"/>
        <v>1852.47</v>
      </c>
      <c r="CU311">
        <f t="shared" si="308"/>
        <v>0</v>
      </c>
      <c r="CV311">
        <f t="shared" si="309"/>
        <v>3</v>
      </c>
      <c r="CW311">
        <f t="shared" si="310"/>
        <v>0</v>
      </c>
      <c r="CX311">
        <f t="shared" si="311"/>
        <v>0</v>
      </c>
      <c r="CY311">
        <f t="shared" si="312"/>
        <v>1296.729</v>
      </c>
      <c r="CZ311">
        <f t="shared" si="313"/>
        <v>185.24700000000001</v>
      </c>
      <c r="DC311" t="s">
        <v>3</v>
      </c>
      <c r="DD311" t="s">
        <v>3</v>
      </c>
      <c r="DE311" t="s">
        <v>3</v>
      </c>
      <c r="DF311" t="s">
        <v>3</v>
      </c>
      <c r="DG311" t="s">
        <v>3</v>
      </c>
      <c r="DH311" t="s">
        <v>3</v>
      </c>
      <c r="DI311" t="s">
        <v>3</v>
      </c>
      <c r="DJ311" t="s">
        <v>3</v>
      </c>
      <c r="DK311" t="s">
        <v>3</v>
      </c>
      <c r="DL311" t="s">
        <v>3</v>
      </c>
      <c r="DM311" t="s">
        <v>3</v>
      </c>
      <c r="DN311">
        <v>0</v>
      </c>
      <c r="DO311">
        <v>0</v>
      </c>
      <c r="DP311">
        <v>1</v>
      </c>
      <c r="DQ311">
        <v>1</v>
      </c>
      <c r="DU311">
        <v>16987630</v>
      </c>
      <c r="DV311" t="s">
        <v>31</v>
      </c>
      <c r="DW311" t="s">
        <v>31</v>
      </c>
      <c r="DX311">
        <v>1</v>
      </c>
      <c r="DZ311" t="s">
        <v>3</v>
      </c>
      <c r="EA311" t="s">
        <v>3</v>
      </c>
      <c r="EB311" t="s">
        <v>3</v>
      </c>
      <c r="EC311" t="s">
        <v>3</v>
      </c>
      <c r="EE311">
        <v>1441815344</v>
      </c>
      <c r="EF311">
        <v>1</v>
      </c>
      <c r="EG311" t="s">
        <v>19</v>
      </c>
      <c r="EH311">
        <v>0</v>
      </c>
      <c r="EI311" t="s">
        <v>3</v>
      </c>
      <c r="EJ311">
        <v>4</v>
      </c>
      <c r="EK311">
        <v>0</v>
      </c>
      <c r="EL311" t="s">
        <v>20</v>
      </c>
      <c r="EM311" t="s">
        <v>21</v>
      </c>
      <c r="EO311" t="s">
        <v>3</v>
      </c>
      <c r="EQ311">
        <v>0</v>
      </c>
      <c r="ER311">
        <v>1878.16</v>
      </c>
      <c r="ES311">
        <v>25.69</v>
      </c>
      <c r="ET311">
        <v>0</v>
      </c>
      <c r="EU311">
        <v>0</v>
      </c>
      <c r="EV311">
        <v>1852.47</v>
      </c>
      <c r="EW311">
        <v>3</v>
      </c>
      <c r="EX311">
        <v>0</v>
      </c>
      <c r="EY311">
        <v>0</v>
      </c>
      <c r="FQ311">
        <v>0</v>
      </c>
      <c r="FR311">
        <f t="shared" si="314"/>
        <v>0</v>
      </c>
      <c r="FS311">
        <v>0</v>
      </c>
      <c r="FX311">
        <v>70</v>
      </c>
      <c r="FY311">
        <v>10</v>
      </c>
      <c r="GA311" t="s">
        <v>3</v>
      </c>
      <c r="GD311">
        <v>0</v>
      </c>
      <c r="GF311">
        <v>183051998</v>
      </c>
      <c r="GG311">
        <v>2</v>
      </c>
      <c r="GH311">
        <v>1</v>
      </c>
      <c r="GI311">
        <v>-2</v>
      </c>
      <c r="GJ311">
        <v>0</v>
      </c>
      <c r="GK311">
        <f>ROUND(R311*(R12)/100,2)</f>
        <v>0</v>
      </c>
      <c r="GL311">
        <f t="shared" si="315"/>
        <v>0</v>
      </c>
      <c r="GM311">
        <f t="shared" si="316"/>
        <v>3360.14</v>
      </c>
      <c r="GN311">
        <f t="shared" si="317"/>
        <v>0</v>
      </c>
      <c r="GO311">
        <f t="shared" si="318"/>
        <v>0</v>
      </c>
      <c r="GP311">
        <f t="shared" si="319"/>
        <v>3360.14</v>
      </c>
      <c r="GR311">
        <v>0</v>
      </c>
      <c r="GS311">
        <v>3</v>
      </c>
      <c r="GT311">
        <v>0</v>
      </c>
      <c r="GU311" t="s">
        <v>3</v>
      </c>
      <c r="GV311">
        <f t="shared" si="320"/>
        <v>0</v>
      </c>
      <c r="GW311">
        <v>1</v>
      </c>
      <c r="GX311">
        <f t="shared" si="321"/>
        <v>0</v>
      </c>
      <c r="HA311">
        <v>0</v>
      </c>
      <c r="HB311">
        <v>0</v>
      </c>
      <c r="HC311">
        <f t="shared" si="322"/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D312">
        <f>ROW(EtalonRes!A284)</f>
        <v>284</v>
      </c>
      <c r="E312" t="s">
        <v>3</v>
      </c>
      <c r="F312" t="s">
        <v>362</v>
      </c>
      <c r="G312" t="s">
        <v>363</v>
      </c>
      <c r="H312" t="s">
        <v>31</v>
      </c>
      <c r="I312">
        <v>1</v>
      </c>
      <c r="J312">
        <v>0</v>
      </c>
      <c r="K312">
        <v>1</v>
      </c>
      <c r="O312">
        <f t="shared" si="290"/>
        <v>990.88</v>
      </c>
      <c r="P312">
        <f t="shared" si="291"/>
        <v>2.88</v>
      </c>
      <c r="Q312">
        <f t="shared" si="292"/>
        <v>0</v>
      </c>
      <c r="R312">
        <f t="shared" si="293"/>
        <v>0</v>
      </c>
      <c r="S312">
        <f t="shared" si="294"/>
        <v>988</v>
      </c>
      <c r="T312">
        <f t="shared" si="295"/>
        <v>0</v>
      </c>
      <c r="U312">
        <f t="shared" si="296"/>
        <v>1.6</v>
      </c>
      <c r="V312">
        <f t="shared" si="297"/>
        <v>0</v>
      </c>
      <c r="W312">
        <f t="shared" si="298"/>
        <v>0</v>
      </c>
      <c r="X312">
        <f t="shared" si="299"/>
        <v>691.6</v>
      </c>
      <c r="Y312">
        <f t="shared" si="300"/>
        <v>98.8</v>
      </c>
      <c r="AA312">
        <v>-1</v>
      </c>
      <c r="AB312">
        <f t="shared" si="301"/>
        <v>990.88</v>
      </c>
      <c r="AC312">
        <f>ROUND(((ES312*16)),6)</f>
        <v>2.88</v>
      </c>
      <c r="AD312">
        <f>ROUND(((((ET312*16))-((EU312*16)))+AE312),6)</f>
        <v>0</v>
      </c>
      <c r="AE312">
        <f>ROUND(((EU312*16)),6)</f>
        <v>0</v>
      </c>
      <c r="AF312">
        <f>ROUND(((EV312*16)),6)</f>
        <v>988</v>
      </c>
      <c r="AG312">
        <f t="shared" si="302"/>
        <v>0</v>
      </c>
      <c r="AH312">
        <f>((EW312*16))</f>
        <v>1.6</v>
      </c>
      <c r="AI312">
        <f>((EX312*16))</f>
        <v>0</v>
      </c>
      <c r="AJ312">
        <f t="shared" si="303"/>
        <v>0</v>
      </c>
      <c r="AK312">
        <v>61.93</v>
      </c>
      <c r="AL312">
        <v>0.18</v>
      </c>
      <c r="AM312">
        <v>0</v>
      </c>
      <c r="AN312">
        <v>0</v>
      </c>
      <c r="AO312">
        <v>61.75</v>
      </c>
      <c r="AP312">
        <v>0</v>
      </c>
      <c r="AQ312">
        <v>0.1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364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si="304"/>
        <v>990.88</v>
      </c>
      <c r="CQ312">
        <f t="shared" si="305"/>
        <v>2.88</v>
      </c>
      <c r="CR312">
        <f>(((((ET312*16))*BB312-((EU312*16))*BS312)+AE312*BS312)*AV312)</f>
        <v>0</v>
      </c>
      <c r="CS312">
        <f t="shared" si="306"/>
        <v>0</v>
      </c>
      <c r="CT312">
        <f t="shared" si="307"/>
        <v>988</v>
      </c>
      <c r="CU312">
        <f t="shared" si="308"/>
        <v>0</v>
      </c>
      <c r="CV312">
        <f t="shared" si="309"/>
        <v>1.6</v>
      </c>
      <c r="CW312">
        <f t="shared" si="310"/>
        <v>0</v>
      </c>
      <c r="CX312">
        <f t="shared" si="311"/>
        <v>0</v>
      </c>
      <c r="CY312">
        <f t="shared" si="312"/>
        <v>691.6</v>
      </c>
      <c r="CZ312">
        <f t="shared" si="313"/>
        <v>98.8</v>
      </c>
      <c r="DC312" t="s">
        <v>3</v>
      </c>
      <c r="DD312" t="s">
        <v>332</v>
      </c>
      <c r="DE312" t="s">
        <v>332</v>
      </c>
      <c r="DF312" t="s">
        <v>332</v>
      </c>
      <c r="DG312" t="s">
        <v>332</v>
      </c>
      <c r="DH312" t="s">
        <v>3</v>
      </c>
      <c r="DI312" t="s">
        <v>332</v>
      </c>
      <c r="DJ312" t="s">
        <v>332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16987630</v>
      </c>
      <c r="DV312" t="s">
        <v>31</v>
      </c>
      <c r="DW312" t="s">
        <v>31</v>
      </c>
      <c r="DX312">
        <v>1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19</v>
      </c>
      <c r="EH312">
        <v>0</v>
      </c>
      <c r="EI312" t="s">
        <v>3</v>
      </c>
      <c r="EJ312">
        <v>4</v>
      </c>
      <c r="EK312">
        <v>0</v>
      </c>
      <c r="EL312" t="s">
        <v>20</v>
      </c>
      <c r="EM312" t="s">
        <v>21</v>
      </c>
      <c r="EO312" t="s">
        <v>3</v>
      </c>
      <c r="EQ312">
        <v>1024</v>
      </c>
      <c r="ER312">
        <v>61.93</v>
      </c>
      <c r="ES312">
        <v>0.18</v>
      </c>
      <c r="ET312">
        <v>0</v>
      </c>
      <c r="EU312">
        <v>0</v>
      </c>
      <c r="EV312">
        <v>61.75</v>
      </c>
      <c r="EW312">
        <v>0.1</v>
      </c>
      <c r="EX312">
        <v>0</v>
      </c>
      <c r="EY312">
        <v>0</v>
      </c>
      <c r="FQ312">
        <v>0</v>
      </c>
      <c r="FR312">
        <f t="shared" si="314"/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1836929455</v>
      </c>
      <c r="GG312">
        <v>2</v>
      </c>
      <c r="GH312">
        <v>1</v>
      </c>
      <c r="GI312">
        <v>-2</v>
      </c>
      <c r="GJ312">
        <v>0</v>
      </c>
      <c r="GK312">
        <f>ROUND(R312*(R12)/100,2)</f>
        <v>0</v>
      </c>
      <c r="GL312">
        <f t="shared" si="315"/>
        <v>0</v>
      </c>
      <c r="GM312">
        <f t="shared" si="316"/>
        <v>1781.28</v>
      </c>
      <c r="GN312">
        <f t="shared" si="317"/>
        <v>0</v>
      </c>
      <c r="GO312">
        <f t="shared" si="318"/>
        <v>0</v>
      </c>
      <c r="GP312">
        <f t="shared" si="319"/>
        <v>1781.28</v>
      </c>
      <c r="GR312">
        <v>0</v>
      </c>
      <c r="GS312">
        <v>3</v>
      </c>
      <c r="GT312">
        <v>0</v>
      </c>
      <c r="GU312" t="s">
        <v>3</v>
      </c>
      <c r="GV312">
        <f t="shared" si="320"/>
        <v>0</v>
      </c>
      <c r="GW312">
        <v>1</v>
      </c>
      <c r="GX312">
        <f t="shared" si="321"/>
        <v>0</v>
      </c>
      <c r="HA312">
        <v>0</v>
      </c>
      <c r="HB312">
        <v>0</v>
      </c>
      <c r="HC312">
        <f t="shared" si="322"/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17</v>
      </c>
      <c r="B313">
        <v>1</v>
      </c>
      <c r="D313">
        <f>ROW(EtalonRes!A285)</f>
        <v>285</v>
      </c>
      <c r="E313" t="s">
        <v>3</v>
      </c>
      <c r="F313" t="s">
        <v>114</v>
      </c>
      <c r="G313" t="s">
        <v>365</v>
      </c>
      <c r="H313" t="s">
        <v>31</v>
      </c>
      <c r="I313">
        <v>1</v>
      </c>
      <c r="J313">
        <v>0</v>
      </c>
      <c r="K313">
        <v>1</v>
      </c>
      <c r="O313">
        <f t="shared" si="290"/>
        <v>1631.48</v>
      </c>
      <c r="P313">
        <f t="shared" si="291"/>
        <v>0</v>
      </c>
      <c r="Q313">
        <f t="shared" si="292"/>
        <v>0</v>
      </c>
      <c r="R313">
        <f t="shared" si="293"/>
        <v>0</v>
      </c>
      <c r="S313">
        <f t="shared" si="294"/>
        <v>1631.48</v>
      </c>
      <c r="T313">
        <f t="shared" si="295"/>
        <v>0</v>
      </c>
      <c r="U313">
        <f t="shared" si="296"/>
        <v>2.12</v>
      </c>
      <c r="V313">
        <f t="shared" si="297"/>
        <v>0</v>
      </c>
      <c r="W313">
        <f t="shared" si="298"/>
        <v>0</v>
      </c>
      <c r="X313">
        <f t="shared" si="299"/>
        <v>1142.04</v>
      </c>
      <c r="Y313">
        <f t="shared" si="300"/>
        <v>163.15</v>
      </c>
      <c r="AA313">
        <v>-1</v>
      </c>
      <c r="AB313">
        <f t="shared" si="301"/>
        <v>1631.48</v>
      </c>
      <c r="AC313">
        <f>ROUND(((ES313*2)),6)</f>
        <v>0</v>
      </c>
      <c r="AD313">
        <f>ROUND(((((ET313*2))-((EU313*2)))+AE313),6)</f>
        <v>0</v>
      </c>
      <c r="AE313">
        <f>ROUND(((EU313*2)),6)</f>
        <v>0</v>
      </c>
      <c r="AF313">
        <f>ROUND(((EV313*2)),6)</f>
        <v>1631.48</v>
      </c>
      <c r="AG313">
        <f t="shared" si="302"/>
        <v>0</v>
      </c>
      <c r="AH313">
        <f>((EW313*2))</f>
        <v>2.12</v>
      </c>
      <c r="AI313">
        <f>((EX313*2))</f>
        <v>0</v>
      </c>
      <c r="AJ313">
        <f t="shared" si="303"/>
        <v>0</v>
      </c>
      <c r="AK313">
        <v>815.74</v>
      </c>
      <c r="AL313">
        <v>0</v>
      </c>
      <c r="AM313">
        <v>0</v>
      </c>
      <c r="AN313">
        <v>0</v>
      </c>
      <c r="AO313">
        <v>815.74</v>
      </c>
      <c r="AP313">
        <v>0</v>
      </c>
      <c r="AQ313">
        <v>1.06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116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304"/>
        <v>1631.48</v>
      </c>
      <c r="CQ313">
        <f t="shared" si="305"/>
        <v>0</v>
      </c>
      <c r="CR313">
        <f>(((((ET313*2))*BB313-((EU313*2))*BS313)+AE313*BS313)*AV313)</f>
        <v>0</v>
      </c>
      <c r="CS313">
        <f t="shared" si="306"/>
        <v>0</v>
      </c>
      <c r="CT313">
        <f t="shared" si="307"/>
        <v>1631.48</v>
      </c>
      <c r="CU313">
        <f t="shared" si="308"/>
        <v>0</v>
      </c>
      <c r="CV313">
        <f t="shared" si="309"/>
        <v>2.12</v>
      </c>
      <c r="CW313">
        <f t="shared" si="310"/>
        <v>0</v>
      </c>
      <c r="CX313">
        <f t="shared" si="311"/>
        <v>0</v>
      </c>
      <c r="CY313">
        <f t="shared" si="312"/>
        <v>1142.0360000000001</v>
      </c>
      <c r="CZ313">
        <f t="shared" si="313"/>
        <v>163.148</v>
      </c>
      <c r="DC313" t="s">
        <v>3</v>
      </c>
      <c r="DD313" t="s">
        <v>117</v>
      </c>
      <c r="DE313" t="s">
        <v>117</v>
      </c>
      <c r="DF313" t="s">
        <v>117</v>
      </c>
      <c r="DG313" t="s">
        <v>117</v>
      </c>
      <c r="DH313" t="s">
        <v>3</v>
      </c>
      <c r="DI313" t="s">
        <v>117</v>
      </c>
      <c r="DJ313" t="s">
        <v>117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16987630</v>
      </c>
      <c r="DV313" t="s">
        <v>31</v>
      </c>
      <c r="DW313" t="s">
        <v>31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19</v>
      </c>
      <c r="EH313">
        <v>0</v>
      </c>
      <c r="EI313" t="s">
        <v>3</v>
      </c>
      <c r="EJ313">
        <v>4</v>
      </c>
      <c r="EK313">
        <v>0</v>
      </c>
      <c r="EL313" t="s">
        <v>20</v>
      </c>
      <c r="EM313" t="s">
        <v>21</v>
      </c>
      <c r="EO313" t="s">
        <v>3</v>
      </c>
      <c r="EQ313">
        <v>1311744</v>
      </c>
      <c r="ER313">
        <v>815.74</v>
      </c>
      <c r="ES313">
        <v>0</v>
      </c>
      <c r="ET313">
        <v>0</v>
      </c>
      <c r="EU313">
        <v>0</v>
      </c>
      <c r="EV313">
        <v>815.74</v>
      </c>
      <c r="EW313">
        <v>1.06</v>
      </c>
      <c r="EX313">
        <v>0</v>
      </c>
      <c r="EY313">
        <v>0</v>
      </c>
      <c r="FQ313">
        <v>0</v>
      </c>
      <c r="FR313">
        <f t="shared" si="314"/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1491254575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si="315"/>
        <v>0</v>
      </c>
      <c r="GM313">
        <f t="shared" si="316"/>
        <v>2936.67</v>
      </c>
      <c r="GN313">
        <f t="shared" si="317"/>
        <v>0</v>
      </c>
      <c r="GO313">
        <f t="shared" si="318"/>
        <v>0</v>
      </c>
      <c r="GP313">
        <f t="shared" si="319"/>
        <v>2936.67</v>
      </c>
      <c r="GR313">
        <v>0</v>
      </c>
      <c r="GS313">
        <v>3</v>
      </c>
      <c r="GT313">
        <v>0</v>
      </c>
      <c r="GU313" t="s">
        <v>3</v>
      </c>
      <c r="GV313">
        <f t="shared" si="320"/>
        <v>0</v>
      </c>
      <c r="GW313">
        <v>1</v>
      </c>
      <c r="GX313">
        <f t="shared" si="321"/>
        <v>0</v>
      </c>
      <c r="HA313">
        <v>0</v>
      </c>
      <c r="HB313">
        <v>0</v>
      </c>
      <c r="HC313">
        <f t="shared" si="322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D314">
        <f>ROW(EtalonRes!A286)</f>
        <v>286</v>
      </c>
      <c r="E314" t="s">
        <v>366</v>
      </c>
      <c r="F314" t="s">
        <v>367</v>
      </c>
      <c r="G314" t="s">
        <v>368</v>
      </c>
      <c r="H314" t="s">
        <v>31</v>
      </c>
      <c r="I314">
        <v>2</v>
      </c>
      <c r="J314">
        <v>0</v>
      </c>
      <c r="K314">
        <v>2</v>
      </c>
      <c r="O314">
        <f t="shared" si="290"/>
        <v>370.5</v>
      </c>
      <c r="P314">
        <f t="shared" si="291"/>
        <v>0</v>
      </c>
      <c r="Q314">
        <f t="shared" si="292"/>
        <v>0</v>
      </c>
      <c r="R314">
        <f t="shared" si="293"/>
        <v>0</v>
      </c>
      <c r="S314">
        <f t="shared" si="294"/>
        <v>370.5</v>
      </c>
      <c r="T314">
        <f t="shared" si="295"/>
        <v>0</v>
      </c>
      <c r="U314">
        <f t="shared" si="296"/>
        <v>0.6</v>
      </c>
      <c r="V314">
        <f t="shared" si="297"/>
        <v>0</v>
      </c>
      <c r="W314">
        <f t="shared" si="298"/>
        <v>0</v>
      </c>
      <c r="X314">
        <f t="shared" si="299"/>
        <v>259.35000000000002</v>
      </c>
      <c r="Y314">
        <f t="shared" si="300"/>
        <v>37.049999999999997</v>
      </c>
      <c r="AA314">
        <v>1471988752</v>
      </c>
      <c r="AB314">
        <f t="shared" si="301"/>
        <v>185.25</v>
      </c>
      <c r="AC314">
        <f>ROUND((ES314),6)</f>
        <v>0</v>
      </c>
      <c r="AD314">
        <f>ROUND((((ET314)-(EU314))+AE314),6)</f>
        <v>0</v>
      </c>
      <c r="AE314">
        <f>ROUND((EU314),6)</f>
        <v>0</v>
      </c>
      <c r="AF314">
        <f>ROUND((EV314),6)</f>
        <v>185.25</v>
      </c>
      <c r="AG314">
        <f t="shared" si="302"/>
        <v>0</v>
      </c>
      <c r="AH314">
        <f>(EW314)</f>
        <v>0.3</v>
      </c>
      <c r="AI314">
        <f>(EX314)</f>
        <v>0</v>
      </c>
      <c r="AJ314">
        <f t="shared" si="303"/>
        <v>0</v>
      </c>
      <c r="AK314">
        <v>185.25</v>
      </c>
      <c r="AL314">
        <v>0</v>
      </c>
      <c r="AM314">
        <v>0</v>
      </c>
      <c r="AN314">
        <v>0</v>
      </c>
      <c r="AO314">
        <v>185.25</v>
      </c>
      <c r="AP314">
        <v>0</v>
      </c>
      <c r="AQ314">
        <v>0.3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369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304"/>
        <v>370.5</v>
      </c>
      <c r="CQ314">
        <f t="shared" si="305"/>
        <v>0</v>
      </c>
      <c r="CR314">
        <f>((((ET314)*BB314-(EU314)*BS314)+AE314*BS314)*AV314)</f>
        <v>0</v>
      </c>
      <c r="CS314">
        <f t="shared" si="306"/>
        <v>0</v>
      </c>
      <c r="CT314">
        <f t="shared" si="307"/>
        <v>185.25</v>
      </c>
      <c r="CU314">
        <f t="shared" si="308"/>
        <v>0</v>
      </c>
      <c r="CV314">
        <f t="shared" si="309"/>
        <v>0.3</v>
      </c>
      <c r="CW314">
        <f t="shared" si="310"/>
        <v>0</v>
      </c>
      <c r="CX314">
        <f t="shared" si="311"/>
        <v>0</v>
      </c>
      <c r="CY314">
        <f t="shared" si="312"/>
        <v>259.35000000000002</v>
      </c>
      <c r="CZ314">
        <f t="shared" si="313"/>
        <v>37.049999999999997</v>
      </c>
      <c r="DC314" t="s">
        <v>3</v>
      </c>
      <c r="DD314" t="s">
        <v>3</v>
      </c>
      <c r="DE314" t="s">
        <v>3</v>
      </c>
      <c r="DF314" t="s">
        <v>3</v>
      </c>
      <c r="DG314" t="s">
        <v>3</v>
      </c>
      <c r="DH314" t="s">
        <v>3</v>
      </c>
      <c r="DI314" t="s">
        <v>3</v>
      </c>
      <c r="DJ314" t="s">
        <v>3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16987630</v>
      </c>
      <c r="DV314" t="s">
        <v>31</v>
      </c>
      <c r="DW314" t="s">
        <v>31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19</v>
      </c>
      <c r="EH314">
        <v>0</v>
      </c>
      <c r="EI314" t="s">
        <v>3</v>
      </c>
      <c r="EJ314">
        <v>4</v>
      </c>
      <c r="EK314">
        <v>0</v>
      </c>
      <c r="EL314" t="s">
        <v>20</v>
      </c>
      <c r="EM314" t="s">
        <v>21</v>
      </c>
      <c r="EO314" t="s">
        <v>3</v>
      </c>
      <c r="EQ314">
        <v>0</v>
      </c>
      <c r="ER314">
        <v>185.25</v>
      </c>
      <c r="ES314">
        <v>0</v>
      </c>
      <c r="ET314">
        <v>0</v>
      </c>
      <c r="EU314">
        <v>0</v>
      </c>
      <c r="EV314">
        <v>185.25</v>
      </c>
      <c r="EW314">
        <v>0.3</v>
      </c>
      <c r="EX314">
        <v>0</v>
      </c>
      <c r="EY314">
        <v>0</v>
      </c>
      <c r="FQ314">
        <v>0</v>
      </c>
      <c r="FR314">
        <f t="shared" si="314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-877688410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 t="shared" si="315"/>
        <v>0</v>
      </c>
      <c r="GM314">
        <f t="shared" si="316"/>
        <v>666.9</v>
      </c>
      <c r="GN314">
        <f t="shared" si="317"/>
        <v>0</v>
      </c>
      <c r="GO314">
        <f t="shared" si="318"/>
        <v>0</v>
      </c>
      <c r="GP314">
        <f t="shared" si="319"/>
        <v>666.9</v>
      </c>
      <c r="GR314">
        <v>0</v>
      </c>
      <c r="GS314">
        <v>3</v>
      </c>
      <c r="GT314">
        <v>0</v>
      </c>
      <c r="GU314" t="s">
        <v>3</v>
      </c>
      <c r="GV314">
        <f t="shared" si="320"/>
        <v>0</v>
      </c>
      <c r="GW314">
        <v>1</v>
      </c>
      <c r="GX314">
        <f t="shared" si="321"/>
        <v>0</v>
      </c>
      <c r="HA314">
        <v>0</v>
      </c>
      <c r="HB314">
        <v>0</v>
      </c>
      <c r="HC314">
        <f t="shared" si="322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ROW(EtalonRes!A287)</f>
        <v>287</v>
      </c>
      <c r="E315" t="s">
        <v>3</v>
      </c>
      <c r="F315" t="s">
        <v>370</v>
      </c>
      <c r="G315" t="s">
        <v>371</v>
      </c>
      <c r="H315" t="s">
        <v>31</v>
      </c>
      <c r="I315">
        <v>2</v>
      </c>
      <c r="J315">
        <v>0</v>
      </c>
      <c r="K315">
        <v>2</v>
      </c>
      <c r="O315">
        <f t="shared" si="290"/>
        <v>37.020000000000003</v>
      </c>
      <c r="P315">
        <f t="shared" si="291"/>
        <v>0</v>
      </c>
      <c r="Q315">
        <f t="shared" si="292"/>
        <v>0</v>
      </c>
      <c r="R315">
        <f t="shared" si="293"/>
        <v>0</v>
      </c>
      <c r="S315">
        <f t="shared" si="294"/>
        <v>37.020000000000003</v>
      </c>
      <c r="T315">
        <f t="shared" si="295"/>
        <v>0</v>
      </c>
      <c r="U315">
        <f t="shared" si="296"/>
        <v>0.06</v>
      </c>
      <c r="V315">
        <f t="shared" si="297"/>
        <v>0</v>
      </c>
      <c r="W315">
        <f t="shared" si="298"/>
        <v>0</v>
      </c>
      <c r="X315">
        <f t="shared" si="299"/>
        <v>25.91</v>
      </c>
      <c r="Y315">
        <f t="shared" si="300"/>
        <v>3.7</v>
      </c>
      <c r="AA315">
        <v>-1</v>
      </c>
      <c r="AB315">
        <f t="shared" si="301"/>
        <v>18.510000000000002</v>
      </c>
      <c r="AC315">
        <f>ROUND(((ES315*3)),6)</f>
        <v>0</v>
      </c>
      <c r="AD315">
        <f>ROUND(((((ET315*3))-((EU315*3)))+AE315),6)</f>
        <v>0</v>
      </c>
      <c r="AE315">
        <f>ROUND(((EU315*3)),6)</f>
        <v>0</v>
      </c>
      <c r="AF315">
        <f>ROUND(((EV315*3)),6)</f>
        <v>18.510000000000002</v>
      </c>
      <c r="AG315">
        <f t="shared" si="302"/>
        <v>0</v>
      </c>
      <c r="AH315">
        <f>((EW315*3))</f>
        <v>0.03</v>
      </c>
      <c r="AI315">
        <f>((EX315*3))</f>
        <v>0</v>
      </c>
      <c r="AJ315">
        <f t="shared" si="303"/>
        <v>0</v>
      </c>
      <c r="AK315">
        <v>6.17</v>
      </c>
      <c r="AL315">
        <v>0</v>
      </c>
      <c r="AM315">
        <v>0</v>
      </c>
      <c r="AN315">
        <v>0</v>
      </c>
      <c r="AO315">
        <v>6.17</v>
      </c>
      <c r="AP315">
        <v>0</v>
      </c>
      <c r="AQ315">
        <v>0.01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372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304"/>
        <v>37.020000000000003</v>
      </c>
      <c r="CQ315">
        <f t="shared" si="305"/>
        <v>0</v>
      </c>
      <c r="CR315">
        <f>(((((ET315*3))*BB315-((EU315*3))*BS315)+AE315*BS315)*AV315)</f>
        <v>0</v>
      </c>
      <c r="CS315">
        <f t="shared" si="306"/>
        <v>0</v>
      </c>
      <c r="CT315">
        <f t="shared" si="307"/>
        <v>18.510000000000002</v>
      </c>
      <c r="CU315">
        <f t="shared" si="308"/>
        <v>0</v>
      </c>
      <c r="CV315">
        <f t="shared" si="309"/>
        <v>0.03</v>
      </c>
      <c r="CW315">
        <f t="shared" si="310"/>
        <v>0</v>
      </c>
      <c r="CX315">
        <f t="shared" si="311"/>
        <v>0</v>
      </c>
      <c r="CY315">
        <f t="shared" si="312"/>
        <v>25.914000000000001</v>
      </c>
      <c r="CZ315">
        <f t="shared" si="313"/>
        <v>3.7020000000000004</v>
      </c>
      <c r="DC315" t="s">
        <v>3</v>
      </c>
      <c r="DD315" t="s">
        <v>325</v>
      </c>
      <c r="DE315" t="s">
        <v>325</v>
      </c>
      <c r="DF315" t="s">
        <v>325</v>
      </c>
      <c r="DG315" t="s">
        <v>325</v>
      </c>
      <c r="DH315" t="s">
        <v>3</v>
      </c>
      <c r="DI315" t="s">
        <v>325</v>
      </c>
      <c r="DJ315" t="s">
        <v>325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16987630</v>
      </c>
      <c r="DV315" t="s">
        <v>31</v>
      </c>
      <c r="DW315" t="s">
        <v>31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19</v>
      </c>
      <c r="EH315">
        <v>0</v>
      </c>
      <c r="EI315" t="s">
        <v>3</v>
      </c>
      <c r="EJ315">
        <v>4</v>
      </c>
      <c r="EK315">
        <v>0</v>
      </c>
      <c r="EL315" t="s">
        <v>20</v>
      </c>
      <c r="EM315" t="s">
        <v>21</v>
      </c>
      <c r="EO315" t="s">
        <v>3</v>
      </c>
      <c r="EQ315">
        <v>1024</v>
      </c>
      <c r="ER315">
        <v>6.17</v>
      </c>
      <c r="ES315">
        <v>0</v>
      </c>
      <c r="ET315">
        <v>0</v>
      </c>
      <c r="EU315">
        <v>0</v>
      </c>
      <c r="EV315">
        <v>6.17</v>
      </c>
      <c r="EW315">
        <v>0.01</v>
      </c>
      <c r="EX315">
        <v>0</v>
      </c>
      <c r="EY315">
        <v>0</v>
      </c>
      <c r="FQ315">
        <v>0</v>
      </c>
      <c r="FR315">
        <f t="shared" si="314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780287675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 t="shared" si="315"/>
        <v>0</v>
      </c>
      <c r="GM315">
        <f t="shared" si="316"/>
        <v>66.63</v>
      </c>
      <c r="GN315">
        <f t="shared" si="317"/>
        <v>0</v>
      </c>
      <c r="GO315">
        <f t="shared" si="318"/>
        <v>0</v>
      </c>
      <c r="GP315">
        <f t="shared" si="319"/>
        <v>66.63</v>
      </c>
      <c r="GR315">
        <v>0</v>
      </c>
      <c r="GS315">
        <v>3</v>
      </c>
      <c r="GT315">
        <v>0</v>
      </c>
      <c r="GU315" t="s">
        <v>3</v>
      </c>
      <c r="GV315">
        <f t="shared" si="320"/>
        <v>0</v>
      </c>
      <c r="GW315">
        <v>1</v>
      </c>
      <c r="GX315">
        <f t="shared" si="321"/>
        <v>0</v>
      </c>
      <c r="HA315">
        <v>0</v>
      </c>
      <c r="HB315">
        <v>0</v>
      </c>
      <c r="HC315">
        <f t="shared" si="322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ROW(EtalonRes!A291)</f>
        <v>291</v>
      </c>
      <c r="E316" t="s">
        <v>373</v>
      </c>
      <c r="F316" t="s">
        <v>374</v>
      </c>
      <c r="G316" t="s">
        <v>375</v>
      </c>
      <c r="H316" t="s">
        <v>31</v>
      </c>
      <c r="I316">
        <v>7</v>
      </c>
      <c r="J316">
        <v>0</v>
      </c>
      <c r="K316">
        <v>7</v>
      </c>
      <c r="O316">
        <f t="shared" si="290"/>
        <v>1864.17</v>
      </c>
      <c r="P316">
        <f t="shared" si="291"/>
        <v>135.16999999999999</v>
      </c>
      <c r="Q316">
        <f t="shared" si="292"/>
        <v>0</v>
      </c>
      <c r="R316">
        <f t="shared" si="293"/>
        <v>0</v>
      </c>
      <c r="S316">
        <f t="shared" si="294"/>
        <v>1729</v>
      </c>
      <c r="T316">
        <f t="shared" si="295"/>
        <v>0</v>
      </c>
      <c r="U316">
        <f t="shared" si="296"/>
        <v>2.8000000000000003</v>
      </c>
      <c r="V316">
        <f t="shared" si="297"/>
        <v>0</v>
      </c>
      <c r="W316">
        <f t="shared" si="298"/>
        <v>0</v>
      </c>
      <c r="X316">
        <f t="shared" si="299"/>
        <v>1210.3</v>
      </c>
      <c r="Y316">
        <f t="shared" si="300"/>
        <v>172.9</v>
      </c>
      <c r="AA316">
        <v>1471988752</v>
      </c>
      <c r="AB316">
        <f t="shared" si="301"/>
        <v>266.31</v>
      </c>
      <c r="AC316">
        <f>ROUND((ES316),6)</f>
        <v>19.309999999999999</v>
      </c>
      <c r="AD316">
        <f>ROUND((((ET316)-(EU316))+AE316),6)</f>
        <v>0</v>
      </c>
      <c r="AE316">
        <f>ROUND((EU316),6)</f>
        <v>0</v>
      </c>
      <c r="AF316">
        <f>ROUND((EV316),6)</f>
        <v>247</v>
      </c>
      <c r="AG316">
        <f t="shared" si="302"/>
        <v>0</v>
      </c>
      <c r="AH316">
        <f>(EW316)</f>
        <v>0.4</v>
      </c>
      <c r="AI316">
        <f>(EX316)</f>
        <v>0</v>
      </c>
      <c r="AJ316">
        <f t="shared" si="303"/>
        <v>0</v>
      </c>
      <c r="AK316">
        <v>266.31</v>
      </c>
      <c r="AL316">
        <v>19.309999999999999</v>
      </c>
      <c r="AM316">
        <v>0</v>
      </c>
      <c r="AN316">
        <v>0</v>
      </c>
      <c r="AO316">
        <v>247</v>
      </c>
      <c r="AP316">
        <v>0</v>
      </c>
      <c r="AQ316">
        <v>0.4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376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304"/>
        <v>1864.17</v>
      </c>
      <c r="CQ316">
        <f t="shared" si="305"/>
        <v>19.309999999999999</v>
      </c>
      <c r="CR316">
        <f>((((ET316)*BB316-(EU316)*BS316)+AE316*BS316)*AV316)</f>
        <v>0</v>
      </c>
      <c r="CS316">
        <f t="shared" si="306"/>
        <v>0</v>
      </c>
      <c r="CT316">
        <f t="shared" si="307"/>
        <v>247</v>
      </c>
      <c r="CU316">
        <f t="shared" si="308"/>
        <v>0</v>
      </c>
      <c r="CV316">
        <f t="shared" si="309"/>
        <v>0.4</v>
      </c>
      <c r="CW316">
        <f t="shared" si="310"/>
        <v>0</v>
      </c>
      <c r="CX316">
        <f t="shared" si="311"/>
        <v>0</v>
      </c>
      <c r="CY316">
        <f t="shared" si="312"/>
        <v>1210.3</v>
      </c>
      <c r="CZ316">
        <f t="shared" si="313"/>
        <v>172.9</v>
      </c>
      <c r="DC316" t="s">
        <v>3</v>
      </c>
      <c r="DD316" t="s">
        <v>3</v>
      </c>
      <c r="DE316" t="s">
        <v>3</v>
      </c>
      <c r="DF316" t="s">
        <v>3</v>
      </c>
      <c r="DG316" t="s">
        <v>3</v>
      </c>
      <c r="DH316" t="s">
        <v>3</v>
      </c>
      <c r="DI316" t="s">
        <v>3</v>
      </c>
      <c r="DJ316" t="s">
        <v>3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16987630</v>
      </c>
      <c r="DV316" t="s">
        <v>31</v>
      </c>
      <c r="DW316" t="s">
        <v>31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19</v>
      </c>
      <c r="EH316">
        <v>0</v>
      </c>
      <c r="EI316" t="s">
        <v>3</v>
      </c>
      <c r="EJ316">
        <v>4</v>
      </c>
      <c r="EK316">
        <v>0</v>
      </c>
      <c r="EL316" t="s">
        <v>20</v>
      </c>
      <c r="EM316" t="s">
        <v>21</v>
      </c>
      <c r="EO316" t="s">
        <v>3</v>
      </c>
      <c r="EQ316">
        <v>0</v>
      </c>
      <c r="ER316">
        <v>266.31</v>
      </c>
      <c r="ES316">
        <v>19.309999999999999</v>
      </c>
      <c r="ET316">
        <v>0</v>
      </c>
      <c r="EU316">
        <v>0</v>
      </c>
      <c r="EV316">
        <v>247</v>
      </c>
      <c r="EW316">
        <v>0.4</v>
      </c>
      <c r="EX316">
        <v>0</v>
      </c>
      <c r="EY316">
        <v>0</v>
      </c>
      <c r="FQ316">
        <v>0</v>
      </c>
      <c r="FR316">
        <f t="shared" si="314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219189123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 t="shared" si="315"/>
        <v>0</v>
      </c>
      <c r="GM316">
        <f t="shared" si="316"/>
        <v>3247.37</v>
      </c>
      <c r="GN316">
        <f t="shared" si="317"/>
        <v>0</v>
      </c>
      <c r="GO316">
        <f t="shared" si="318"/>
        <v>0</v>
      </c>
      <c r="GP316">
        <f t="shared" si="319"/>
        <v>3247.37</v>
      </c>
      <c r="GR316">
        <v>0</v>
      </c>
      <c r="GS316">
        <v>3</v>
      </c>
      <c r="GT316">
        <v>0</v>
      </c>
      <c r="GU316" t="s">
        <v>3</v>
      </c>
      <c r="GV316">
        <f t="shared" si="320"/>
        <v>0</v>
      </c>
      <c r="GW316">
        <v>1</v>
      </c>
      <c r="GX316">
        <f t="shared" si="321"/>
        <v>0</v>
      </c>
      <c r="HA316">
        <v>0</v>
      </c>
      <c r="HB316">
        <v>0</v>
      </c>
      <c r="HC316">
        <f t="shared" si="322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D317">
        <f>ROW(EtalonRes!A294)</f>
        <v>294</v>
      </c>
      <c r="E317" t="s">
        <v>377</v>
      </c>
      <c r="F317" t="s">
        <v>378</v>
      </c>
      <c r="G317" t="s">
        <v>379</v>
      </c>
      <c r="H317" t="s">
        <v>40</v>
      </c>
      <c r="I317">
        <f>ROUND((3)/10,9)</f>
        <v>0.3</v>
      </c>
      <c r="J317">
        <v>0</v>
      </c>
      <c r="K317">
        <f>ROUND((3)/10,9)</f>
        <v>0.3</v>
      </c>
      <c r="O317">
        <f t="shared" si="290"/>
        <v>535.15</v>
      </c>
      <c r="P317">
        <f t="shared" si="291"/>
        <v>24.2</v>
      </c>
      <c r="Q317">
        <f t="shared" si="292"/>
        <v>0</v>
      </c>
      <c r="R317">
        <f t="shared" si="293"/>
        <v>0</v>
      </c>
      <c r="S317">
        <f t="shared" si="294"/>
        <v>510.95</v>
      </c>
      <c r="T317">
        <f t="shared" si="295"/>
        <v>0</v>
      </c>
      <c r="U317">
        <f t="shared" si="296"/>
        <v>0.72</v>
      </c>
      <c r="V317">
        <f t="shared" si="297"/>
        <v>0</v>
      </c>
      <c r="W317">
        <f t="shared" si="298"/>
        <v>0</v>
      </c>
      <c r="X317">
        <f t="shared" si="299"/>
        <v>357.67</v>
      </c>
      <c r="Y317">
        <f t="shared" si="300"/>
        <v>51.1</v>
      </c>
      <c r="AA317">
        <v>1471988752</v>
      </c>
      <c r="AB317">
        <f t="shared" si="301"/>
        <v>1783.85</v>
      </c>
      <c r="AC317">
        <f>ROUND((ES317),6)</f>
        <v>80.67</v>
      </c>
      <c r="AD317">
        <f>ROUND((((ET317)-(EU317))+AE317),6)</f>
        <v>0</v>
      </c>
      <c r="AE317">
        <f>ROUND((EU317),6)</f>
        <v>0</v>
      </c>
      <c r="AF317">
        <f>ROUND((EV317),6)</f>
        <v>1703.18</v>
      </c>
      <c r="AG317">
        <f t="shared" si="302"/>
        <v>0</v>
      </c>
      <c r="AH317">
        <f>(EW317)</f>
        <v>2.4</v>
      </c>
      <c r="AI317">
        <f>(EX317)</f>
        <v>0</v>
      </c>
      <c r="AJ317">
        <f t="shared" si="303"/>
        <v>0</v>
      </c>
      <c r="AK317">
        <v>1783.85</v>
      </c>
      <c r="AL317">
        <v>80.67</v>
      </c>
      <c r="AM317">
        <v>0</v>
      </c>
      <c r="AN317">
        <v>0</v>
      </c>
      <c r="AO317">
        <v>1703.18</v>
      </c>
      <c r="AP317">
        <v>0</v>
      </c>
      <c r="AQ317">
        <v>2.4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380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304"/>
        <v>535.15</v>
      </c>
      <c r="CQ317">
        <f t="shared" si="305"/>
        <v>80.67</v>
      </c>
      <c r="CR317">
        <f>((((ET317)*BB317-(EU317)*BS317)+AE317*BS317)*AV317)</f>
        <v>0</v>
      </c>
      <c r="CS317">
        <f t="shared" si="306"/>
        <v>0</v>
      </c>
      <c r="CT317">
        <f t="shared" si="307"/>
        <v>1703.18</v>
      </c>
      <c r="CU317">
        <f t="shared" si="308"/>
        <v>0</v>
      </c>
      <c r="CV317">
        <f t="shared" si="309"/>
        <v>2.4</v>
      </c>
      <c r="CW317">
        <f t="shared" si="310"/>
        <v>0</v>
      </c>
      <c r="CX317">
        <f t="shared" si="311"/>
        <v>0</v>
      </c>
      <c r="CY317">
        <f t="shared" si="312"/>
        <v>357.66500000000002</v>
      </c>
      <c r="CZ317">
        <f t="shared" si="313"/>
        <v>51.094999999999999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16987630</v>
      </c>
      <c r="DV317" t="s">
        <v>40</v>
      </c>
      <c r="DW317" t="s">
        <v>40</v>
      </c>
      <c r="DX317">
        <v>10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19</v>
      </c>
      <c r="EH317">
        <v>0</v>
      </c>
      <c r="EI317" t="s">
        <v>3</v>
      </c>
      <c r="EJ317">
        <v>4</v>
      </c>
      <c r="EK317">
        <v>0</v>
      </c>
      <c r="EL317" t="s">
        <v>20</v>
      </c>
      <c r="EM317" t="s">
        <v>21</v>
      </c>
      <c r="EO317" t="s">
        <v>3</v>
      </c>
      <c r="EQ317">
        <v>0</v>
      </c>
      <c r="ER317">
        <v>1783.85</v>
      </c>
      <c r="ES317">
        <v>80.67</v>
      </c>
      <c r="ET317">
        <v>0</v>
      </c>
      <c r="EU317">
        <v>0</v>
      </c>
      <c r="EV317">
        <v>1703.18</v>
      </c>
      <c r="EW317">
        <v>2.4</v>
      </c>
      <c r="EX317">
        <v>0</v>
      </c>
      <c r="EY317">
        <v>0</v>
      </c>
      <c r="FQ317">
        <v>0</v>
      </c>
      <c r="FR317">
        <f t="shared" si="314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275629574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315"/>
        <v>0</v>
      </c>
      <c r="GM317">
        <f t="shared" si="316"/>
        <v>943.92</v>
      </c>
      <c r="GN317">
        <f t="shared" si="317"/>
        <v>0</v>
      </c>
      <c r="GO317">
        <f t="shared" si="318"/>
        <v>0</v>
      </c>
      <c r="GP317">
        <f t="shared" si="319"/>
        <v>943.92</v>
      </c>
      <c r="GR317">
        <v>0</v>
      </c>
      <c r="GS317">
        <v>3</v>
      </c>
      <c r="GT317">
        <v>0</v>
      </c>
      <c r="GU317" t="s">
        <v>3</v>
      </c>
      <c r="GV317">
        <f t="shared" si="320"/>
        <v>0</v>
      </c>
      <c r="GW317">
        <v>1</v>
      </c>
      <c r="GX317">
        <f t="shared" si="321"/>
        <v>0</v>
      </c>
      <c r="HA317">
        <v>0</v>
      </c>
      <c r="HB317">
        <v>0</v>
      </c>
      <c r="HC317">
        <f t="shared" si="322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9" spans="1:245" x14ac:dyDescent="0.2">
      <c r="A319" s="2">
        <v>51</v>
      </c>
      <c r="B319" s="2">
        <f>B296</f>
        <v>1</v>
      </c>
      <c r="C319" s="2">
        <f>A296</f>
        <v>5</v>
      </c>
      <c r="D319" s="2">
        <f>ROW(A296)</f>
        <v>296</v>
      </c>
      <c r="E319" s="2"/>
      <c r="F319" s="2" t="str">
        <f>IF(F296&lt;&gt;"",F296,"")</f>
        <v>Новый подраздел</v>
      </c>
      <c r="G319" s="2" t="str">
        <f>IF(G296&lt;&gt;"",G296,"")</f>
        <v>4.1 Электроосвещение и электрооборудование</v>
      </c>
      <c r="H319" s="2">
        <v>0</v>
      </c>
      <c r="I319" s="2"/>
      <c r="J319" s="2"/>
      <c r="K319" s="2"/>
      <c r="L319" s="2"/>
      <c r="M319" s="2"/>
      <c r="N319" s="2"/>
      <c r="O319" s="2">
        <f t="shared" ref="O319:T319" si="323">ROUND(AB319,2)</f>
        <v>50740.49</v>
      </c>
      <c r="P319" s="2">
        <f t="shared" si="323"/>
        <v>806.36</v>
      </c>
      <c r="Q319" s="2">
        <f t="shared" si="323"/>
        <v>0</v>
      </c>
      <c r="R319" s="2">
        <f t="shared" si="323"/>
        <v>0</v>
      </c>
      <c r="S319" s="2">
        <f t="shared" si="323"/>
        <v>49934.13</v>
      </c>
      <c r="T319" s="2">
        <f t="shared" si="323"/>
        <v>0</v>
      </c>
      <c r="U319" s="2">
        <f>AH319</f>
        <v>80.919999999999987</v>
      </c>
      <c r="V319" s="2">
        <f>AI319</f>
        <v>0</v>
      </c>
      <c r="W319" s="2">
        <f>ROUND(AJ319,2)</f>
        <v>0</v>
      </c>
      <c r="X319" s="2">
        <f>ROUND(AK319,2)</f>
        <v>34953.89</v>
      </c>
      <c r="Y319" s="2">
        <f>ROUND(AL319,2)</f>
        <v>4993.42</v>
      </c>
      <c r="Z319" s="2"/>
      <c r="AA319" s="2"/>
      <c r="AB319" s="2">
        <f>ROUND(SUMIF(AA300:AA317,"=1471988752",O300:O317),2)</f>
        <v>50740.49</v>
      </c>
      <c r="AC319" s="2">
        <f>ROUND(SUMIF(AA300:AA317,"=1471988752",P300:P317),2)</f>
        <v>806.36</v>
      </c>
      <c r="AD319" s="2">
        <f>ROUND(SUMIF(AA300:AA317,"=1471988752",Q300:Q317),2)</f>
        <v>0</v>
      </c>
      <c r="AE319" s="2">
        <f>ROUND(SUMIF(AA300:AA317,"=1471988752",R300:R317),2)</f>
        <v>0</v>
      </c>
      <c r="AF319" s="2">
        <f>ROUND(SUMIF(AA300:AA317,"=1471988752",S300:S317),2)</f>
        <v>49934.13</v>
      </c>
      <c r="AG319" s="2">
        <f>ROUND(SUMIF(AA300:AA317,"=1471988752",T300:T317),2)</f>
        <v>0</v>
      </c>
      <c r="AH319" s="2">
        <f>SUMIF(AA300:AA317,"=1471988752",U300:U317)</f>
        <v>80.919999999999987</v>
      </c>
      <c r="AI319" s="2">
        <f>SUMIF(AA300:AA317,"=1471988752",V300:V317)</f>
        <v>0</v>
      </c>
      <c r="AJ319" s="2">
        <f>ROUND(SUMIF(AA300:AA317,"=1471988752",W300:W317),2)</f>
        <v>0</v>
      </c>
      <c r="AK319" s="2">
        <f>ROUND(SUMIF(AA300:AA317,"=1471988752",X300:X317),2)</f>
        <v>34953.89</v>
      </c>
      <c r="AL319" s="2">
        <f>ROUND(SUMIF(AA300:AA317,"=1471988752",Y300:Y317),2)</f>
        <v>4993.42</v>
      </c>
      <c r="AM319" s="2"/>
      <c r="AN319" s="2"/>
      <c r="AO319" s="2">
        <f t="shared" ref="AO319:BD319" si="324">ROUND(BX319,2)</f>
        <v>0</v>
      </c>
      <c r="AP319" s="2">
        <f t="shared" si="324"/>
        <v>0</v>
      </c>
      <c r="AQ319" s="2">
        <f t="shared" si="324"/>
        <v>0</v>
      </c>
      <c r="AR319" s="2">
        <f t="shared" si="324"/>
        <v>90687.8</v>
      </c>
      <c r="AS319" s="2">
        <f t="shared" si="324"/>
        <v>0</v>
      </c>
      <c r="AT319" s="2">
        <f t="shared" si="324"/>
        <v>0</v>
      </c>
      <c r="AU319" s="2">
        <f t="shared" si="324"/>
        <v>90687.8</v>
      </c>
      <c r="AV319" s="2">
        <f t="shared" si="324"/>
        <v>806.36</v>
      </c>
      <c r="AW319" s="2">
        <f t="shared" si="324"/>
        <v>806.36</v>
      </c>
      <c r="AX319" s="2">
        <f t="shared" si="324"/>
        <v>0</v>
      </c>
      <c r="AY319" s="2">
        <f t="shared" si="324"/>
        <v>806.36</v>
      </c>
      <c r="AZ319" s="2">
        <f t="shared" si="324"/>
        <v>0</v>
      </c>
      <c r="BA319" s="2">
        <f t="shared" si="324"/>
        <v>0</v>
      </c>
      <c r="BB319" s="2">
        <f t="shared" si="324"/>
        <v>0</v>
      </c>
      <c r="BC319" s="2">
        <f t="shared" si="324"/>
        <v>0</v>
      </c>
      <c r="BD319" s="2">
        <f t="shared" si="324"/>
        <v>0</v>
      </c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>
        <f>ROUND(SUMIF(AA300:AA317,"=1471988752",FQ300:FQ317),2)</f>
        <v>0</v>
      </c>
      <c r="BY319" s="2">
        <f>ROUND(SUMIF(AA300:AA317,"=1471988752",FR300:FR317),2)</f>
        <v>0</v>
      </c>
      <c r="BZ319" s="2">
        <f>ROUND(SUMIF(AA300:AA317,"=1471988752",GL300:GL317),2)</f>
        <v>0</v>
      </c>
      <c r="CA319" s="2">
        <f>ROUND(SUMIF(AA300:AA317,"=1471988752",GM300:GM317),2)</f>
        <v>90687.8</v>
      </c>
      <c r="CB319" s="2">
        <f>ROUND(SUMIF(AA300:AA317,"=1471988752",GN300:GN317),2)</f>
        <v>0</v>
      </c>
      <c r="CC319" s="2">
        <f>ROUND(SUMIF(AA300:AA317,"=1471988752",GO300:GO317),2)</f>
        <v>0</v>
      </c>
      <c r="CD319" s="2">
        <f>ROUND(SUMIF(AA300:AA317,"=1471988752",GP300:GP317),2)</f>
        <v>90687.8</v>
      </c>
      <c r="CE319" s="2">
        <f>AC319-BX319</f>
        <v>806.36</v>
      </c>
      <c r="CF319" s="2">
        <f>AC319-BY319</f>
        <v>806.36</v>
      </c>
      <c r="CG319" s="2">
        <f>BX319-BZ319</f>
        <v>0</v>
      </c>
      <c r="CH319" s="2">
        <f>AC319-BX319-BY319+BZ319</f>
        <v>806.36</v>
      </c>
      <c r="CI319" s="2">
        <f>BY319-BZ319</f>
        <v>0</v>
      </c>
      <c r="CJ319" s="2">
        <f>ROUND(SUMIF(AA300:AA317,"=1471988752",GX300:GX317),2)</f>
        <v>0</v>
      </c>
      <c r="CK319" s="2">
        <f>ROUND(SUMIF(AA300:AA317,"=1471988752",GY300:GY317),2)</f>
        <v>0</v>
      </c>
      <c r="CL319" s="2">
        <f>ROUND(SUMIF(AA300:AA317,"=1471988752",GZ300:GZ317),2)</f>
        <v>0</v>
      </c>
      <c r="CM319" s="2">
        <f>ROUND(SUMIF(AA300:AA317,"=1471988752",HD300:HD317),2)</f>
        <v>0</v>
      </c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3"/>
      <c r="DH319" s="3"/>
      <c r="DI319" s="3"/>
      <c r="DJ319" s="3"/>
      <c r="DK319" s="3"/>
      <c r="DL319" s="3"/>
      <c r="DM319" s="3"/>
      <c r="DN319" s="3"/>
      <c r="DO319" s="3"/>
      <c r="DP319" s="3"/>
      <c r="DQ319" s="3"/>
      <c r="DR319" s="3"/>
      <c r="DS319" s="3"/>
      <c r="DT319" s="3"/>
      <c r="DU319" s="3"/>
      <c r="DV319" s="3"/>
      <c r="DW319" s="3"/>
      <c r="DX319" s="3"/>
      <c r="DY319" s="3"/>
      <c r="DZ319" s="3"/>
      <c r="EA319" s="3"/>
      <c r="EB319" s="3"/>
      <c r="EC319" s="3"/>
      <c r="ED319" s="3"/>
      <c r="EE319" s="3"/>
      <c r="EF319" s="3"/>
      <c r="EG319" s="3"/>
      <c r="EH319" s="3"/>
      <c r="EI319" s="3"/>
      <c r="EJ319" s="3"/>
      <c r="EK319" s="3"/>
      <c r="EL319" s="3"/>
      <c r="EM319" s="3"/>
      <c r="EN319" s="3"/>
      <c r="EO319" s="3"/>
      <c r="EP319" s="3"/>
      <c r="EQ319" s="3"/>
      <c r="ER319" s="3"/>
      <c r="ES319" s="3"/>
      <c r="ET319" s="3"/>
      <c r="EU319" s="3"/>
      <c r="EV319" s="3"/>
      <c r="EW319" s="3"/>
      <c r="EX319" s="3"/>
      <c r="EY319" s="3"/>
      <c r="EZ319" s="3"/>
      <c r="FA319" s="3"/>
      <c r="FB319" s="3"/>
      <c r="FC319" s="3"/>
      <c r="FD319" s="3"/>
      <c r="FE319" s="3"/>
      <c r="FF319" s="3"/>
      <c r="FG319" s="3"/>
      <c r="FH319" s="3"/>
      <c r="FI319" s="3"/>
      <c r="FJ319" s="3"/>
      <c r="FK319" s="3"/>
      <c r="FL319" s="3"/>
      <c r="FM319" s="3"/>
      <c r="FN319" s="3"/>
      <c r="FO319" s="3"/>
      <c r="FP319" s="3"/>
      <c r="FQ319" s="3"/>
      <c r="FR319" s="3"/>
      <c r="FS319" s="3"/>
      <c r="FT319" s="3"/>
      <c r="FU319" s="3"/>
      <c r="FV319" s="3"/>
      <c r="FW319" s="3"/>
      <c r="FX319" s="3"/>
      <c r="FY319" s="3"/>
      <c r="FZ319" s="3"/>
      <c r="GA319" s="3"/>
      <c r="GB319" s="3"/>
      <c r="GC319" s="3"/>
      <c r="GD319" s="3"/>
      <c r="GE319" s="3"/>
      <c r="GF319" s="3"/>
      <c r="GG319" s="3"/>
      <c r="GH319" s="3"/>
      <c r="GI319" s="3"/>
      <c r="GJ319" s="3"/>
      <c r="GK319" s="3"/>
      <c r="GL319" s="3"/>
      <c r="GM319" s="3"/>
      <c r="GN319" s="3"/>
      <c r="GO319" s="3"/>
      <c r="GP319" s="3"/>
      <c r="GQ319" s="3"/>
      <c r="GR319" s="3"/>
      <c r="GS319" s="3"/>
      <c r="GT319" s="3"/>
      <c r="GU319" s="3"/>
      <c r="GV319" s="3"/>
      <c r="GW319" s="3"/>
      <c r="GX319" s="3">
        <v>0</v>
      </c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201</v>
      </c>
      <c r="F321" s="4">
        <f>ROUND(Source!O319,O321)</f>
        <v>50740.49</v>
      </c>
      <c r="G321" s="4" t="s">
        <v>45</v>
      </c>
      <c r="H321" s="4" t="s">
        <v>46</v>
      </c>
      <c r="I321" s="4"/>
      <c r="J321" s="4"/>
      <c r="K321" s="4">
        <v>201</v>
      </c>
      <c r="L321" s="4">
        <v>1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50740.49</v>
      </c>
      <c r="X321" s="4">
        <v>1</v>
      </c>
      <c r="Y321" s="4">
        <v>50740.49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202</v>
      </c>
      <c r="F322" s="4">
        <f>ROUND(Source!P319,O322)</f>
        <v>806.36</v>
      </c>
      <c r="G322" s="4" t="s">
        <v>47</v>
      </c>
      <c r="H322" s="4" t="s">
        <v>48</v>
      </c>
      <c r="I322" s="4"/>
      <c r="J322" s="4"/>
      <c r="K322" s="4">
        <v>202</v>
      </c>
      <c r="L322" s="4">
        <v>2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806.36</v>
      </c>
      <c r="X322" s="4">
        <v>1</v>
      </c>
      <c r="Y322" s="4">
        <v>806.36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222</v>
      </c>
      <c r="F323" s="4">
        <f>ROUND(Source!AO319,O323)</f>
        <v>0</v>
      </c>
      <c r="G323" s="4" t="s">
        <v>49</v>
      </c>
      <c r="H323" s="4" t="s">
        <v>50</v>
      </c>
      <c r="I323" s="4"/>
      <c r="J323" s="4"/>
      <c r="K323" s="4">
        <v>222</v>
      </c>
      <c r="L323" s="4">
        <v>3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225</v>
      </c>
      <c r="F324" s="4">
        <f>ROUND(Source!AV319,O324)</f>
        <v>806.36</v>
      </c>
      <c r="G324" s="4" t="s">
        <v>51</v>
      </c>
      <c r="H324" s="4" t="s">
        <v>52</v>
      </c>
      <c r="I324" s="4"/>
      <c r="J324" s="4"/>
      <c r="K324" s="4">
        <v>225</v>
      </c>
      <c r="L324" s="4">
        <v>4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806.36</v>
      </c>
      <c r="X324" s="4">
        <v>1</v>
      </c>
      <c r="Y324" s="4">
        <v>806.36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226</v>
      </c>
      <c r="F325" s="4">
        <f>ROUND(Source!AW319,O325)</f>
        <v>806.36</v>
      </c>
      <c r="G325" s="4" t="s">
        <v>53</v>
      </c>
      <c r="H325" s="4" t="s">
        <v>54</v>
      </c>
      <c r="I325" s="4"/>
      <c r="J325" s="4"/>
      <c r="K325" s="4">
        <v>226</v>
      </c>
      <c r="L325" s="4">
        <v>5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806.36</v>
      </c>
      <c r="X325" s="4">
        <v>1</v>
      </c>
      <c r="Y325" s="4">
        <v>806.36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227</v>
      </c>
      <c r="F326" s="4">
        <f>ROUND(Source!AX319,O326)</f>
        <v>0</v>
      </c>
      <c r="G326" s="4" t="s">
        <v>55</v>
      </c>
      <c r="H326" s="4" t="s">
        <v>56</v>
      </c>
      <c r="I326" s="4"/>
      <c r="J326" s="4"/>
      <c r="K326" s="4">
        <v>227</v>
      </c>
      <c r="L326" s="4">
        <v>6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228</v>
      </c>
      <c r="F327" s="4">
        <f>ROUND(Source!AY319,O327)</f>
        <v>806.36</v>
      </c>
      <c r="G327" s="4" t="s">
        <v>57</v>
      </c>
      <c r="H327" s="4" t="s">
        <v>58</v>
      </c>
      <c r="I327" s="4"/>
      <c r="J327" s="4"/>
      <c r="K327" s="4">
        <v>228</v>
      </c>
      <c r="L327" s="4">
        <v>7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806.36</v>
      </c>
      <c r="X327" s="4">
        <v>1</v>
      </c>
      <c r="Y327" s="4">
        <v>806.36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216</v>
      </c>
      <c r="F328" s="4">
        <f>ROUND(Source!AP319,O328)</f>
        <v>0</v>
      </c>
      <c r="G328" s="4" t="s">
        <v>59</v>
      </c>
      <c r="H328" s="4" t="s">
        <v>60</v>
      </c>
      <c r="I328" s="4"/>
      <c r="J328" s="4"/>
      <c r="K328" s="4">
        <v>216</v>
      </c>
      <c r="L328" s="4">
        <v>8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223</v>
      </c>
      <c r="F329" s="4">
        <f>ROUND(Source!AQ319,O329)</f>
        <v>0</v>
      </c>
      <c r="G329" s="4" t="s">
        <v>61</v>
      </c>
      <c r="H329" s="4" t="s">
        <v>62</v>
      </c>
      <c r="I329" s="4"/>
      <c r="J329" s="4"/>
      <c r="K329" s="4">
        <v>223</v>
      </c>
      <c r="L329" s="4">
        <v>9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229</v>
      </c>
      <c r="F330" s="4">
        <f>ROUND(Source!AZ319,O330)</f>
        <v>0</v>
      </c>
      <c r="G330" s="4" t="s">
        <v>63</v>
      </c>
      <c r="H330" s="4" t="s">
        <v>64</v>
      </c>
      <c r="I330" s="4"/>
      <c r="J330" s="4"/>
      <c r="K330" s="4">
        <v>229</v>
      </c>
      <c r="L330" s="4">
        <v>10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203</v>
      </c>
      <c r="F331" s="4">
        <f>ROUND(Source!Q319,O331)</f>
        <v>0</v>
      </c>
      <c r="G331" s="4" t="s">
        <v>65</v>
      </c>
      <c r="H331" s="4" t="s">
        <v>66</v>
      </c>
      <c r="I331" s="4"/>
      <c r="J331" s="4"/>
      <c r="K331" s="4">
        <v>203</v>
      </c>
      <c r="L331" s="4">
        <v>11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231</v>
      </c>
      <c r="F332" s="4">
        <f>ROUND(Source!BB319,O332)</f>
        <v>0</v>
      </c>
      <c r="G332" s="4" t="s">
        <v>67</v>
      </c>
      <c r="H332" s="4" t="s">
        <v>68</v>
      </c>
      <c r="I332" s="4"/>
      <c r="J332" s="4"/>
      <c r="K332" s="4">
        <v>231</v>
      </c>
      <c r="L332" s="4">
        <v>12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204</v>
      </c>
      <c r="F333" s="4">
        <f>ROUND(Source!R319,O333)</f>
        <v>0</v>
      </c>
      <c r="G333" s="4" t="s">
        <v>69</v>
      </c>
      <c r="H333" s="4" t="s">
        <v>70</v>
      </c>
      <c r="I333" s="4"/>
      <c r="J333" s="4"/>
      <c r="K333" s="4">
        <v>204</v>
      </c>
      <c r="L333" s="4">
        <v>13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205</v>
      </c>
      <c r="F334" s="4">
        <f>ROUND(Source!S319,O334)</f>
        <v>49934.13</v>
      </c>
      <c r="G334" s="4" t="s">
        <v>71</v>
      </c>
      <c r="H334" s="4" t="s">
        <v>72</v>
      </c>
      <c r="I334" s="4"/>
      <c r="J334" s="4"/>
      <c r="K334" s="4">
        <v>205</v>
      </c>
      <c r="L334" s="4">
        <v>14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49934.13</v>
      </c>
      <c r="X334" s="4">
        <v>1</v>
      </c>
      <c r="Y334" s="4">
        <v>49934.13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232</v>
      </c>
      <c r="F335" s="4">
        <f>ROUND(Source!BC319,O335)</f>
        <v>0</v>
      </c>
      <c r="G335" s="4" t="s">
        <v>73</v>
      </c>
      <c r="H335" s="4" t="s">
        <v>74</v>
      </c>
      <c r="I335" s="4"/>
      <c r="J335" s="4"/>
      <c r="K335" s="4">
        <v>232</v>
      </c>
      <c r="L335" s="4">
        <v>15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214</v>
      </c>
      <c r="F336" s="4">
        <f>ROUND(Source!AS319,O336)</f>
        <v>0</v>
      </c>
      <c r="G336" s="4" t="s">
        <v>75</v>
      </c>
      <c r="H336" s="4" t="s">
        <v>76</v>
      </c>
      <c r="I336" s="4"/>
      <c r="J336" s="4"/>
      <c r="K336" s="4">
        <v>214</v>
      </c>
      <c r="L336" s="4">
        <v>16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215</v>
      </c>
      <c r="F337" s="4">
        <f>ROUND(Source!AT319,O337)</f>
        <v>0</v>
      </c>
      <c r="G337" s="4" t="s">
        <v>77</v>
      </c>
      <c r="H337" s="4" t="s">
        <v>78</v>
      </c>
      <c r="I337" s="4"/>
      <c r="J337" s="4"/>
      <c r="K337" s="4">
        <v>215</v>
      </c>
      <c r="L337" s="4">
        <v>17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217</v>
      </c>
      <c r="F338" s="4">
        <f>ROUND(Source!AU319,O338)</f>
        <v>90687.8</v>
      </c>
      <c r="G338" s="4" t="s">
        <v>79</v>
      </c>
      <c r="H338" s="4" t="s">
        <v>80</v>
      </c>
      <c r="I338" s="4"/>
      <c r="J338" s="4"/>
      <c r="K338" s="4">
        <v>217</v>
      </c>
      <c r="L338" s="4">
        <v>18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90687.8</v>
      </c>
      <c r="X338" s="4">
        <v>1</v>
      </c>
      <c r="Y338" s="4">
        <v>90687.8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230</v>
      </c>
      <c r="F339" s="4">
        <f>ROUND(Source!BA319,O339)</f>
        <v>0</v>
      </c>
      <c r="G339" s="4" t="s">
        <v>81</v>
      </c>
      <c r="H339" s="4" t="s">
        <v>82</v>
      </c>
      <c r="I339" s="4"/>
      <c r="J339" s="4"/>
      <c r="K339" s="4">
        <v>230</v>
      </c>
      <c r="L339" s="4">
        <v>19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206</v>
      </c>
      <c r="F340" s="4">
        <f>ROUND(Source!T319,O340)</f>
        <v>0</v>
      </c>
      <c r="G340" s="4" t="s">
        <v>83</v>
      </c>
      <c r="H340" s="4" t="s">
        <v>84</v>
      </c>
      <c r="I340" s="4"/>
      <c r="J340" s="4"/>
      <c r="K340" s="4">
        <v>206</v>
      </c>
      <c r="L340" s="4">
        <v>20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207</v>
      </c>
      <c r="F341" s="4">
        <f>Source!U319</f>
        <v>80.919999999999987</v>
      </c>
      <c r="G341" s="4" t="s">
        <v>85</v>
      </c>
      <c r="H341" s="4" t="s">
        <v>86</v>
      </c>
      <c r="I341" s="4"/>
      <c r="J341" s="4"/>
      <c r="K341" s="4">
        <v>207</v>
      </c>
      <c r="L341" s="4">
        <v>21</v>
      </c>
      <c r="M341" s="4">
        <v>3</v>
      </c>
      <c r="N341" s="4" t="s">
        <v>3</v>
      </c>
      <c r="O341" s="4">
        <v>-1</v>
      </c>
      <c r="P341" s="4"/>
      <c r="Q341" s="4"/>
      <c r="R341" s="4"/>
      <c r="S341" s="4"/>
      <c r="T341" s="4"/>
      <c r="U341" s="4"/>
      <c r="V341" s="4"/>
      <c r="W341" s="4">
        <v>80.919999999999987</v>
      </c>
      <c r="X341" s="4">
        <v>1</v>
      </c>
      <c r="Y341" s="4">
        <v>80.919999999999987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208</v>
      </c>
      <c r="F342" s="4">
        <f>Source!V319</f>
        <v>0</v>
      </c>
      <c r="G342" s="4" t="s">
        <v>87</v>
      </c>
      <c r="H342" s="4" t="s">
        <v>88</v>
      </c>
      <c r="I342" s="4"/>
      <c r="J342" s="4"/>
      <c r="K342" s="4">
        <v>208</v>
      </c>
      <c r="L342" s="4">
        <v>22</v>
      </c>
      <c r="M342" s="4">
        <v>3</v>
      </c>
      <c r="N342" s="4" t="s">
        <v>3</v>
      </c>
      <c r="O342" s="4">
        <v>-1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209</v>
      </c>
      <c r="F343" s="4">
        <f>ROUND(Source!W319,O343)</f>
        <v>0</v>
      </c>
      <c r="G343" s="4" t="s">
        <v>89</v>
      </c>
      <c r="H343" s="4" t="s">
        <v>90</v>
      </c>
      <c r="I343" s="4"/>
      <c r="J343" s="4"/>
      <c r="K343" s="4">
        <v>209</v>
      </c>
      <c r="L343" s="4">
        <v>23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233</v>
      </c>
      <c r="F344" s="4">
        <f>ROUND(Source!BD319,O344)</f>
        <v>0</v>
      </c>
      <c r="G344" s="4" t="s">
        <v>91</v>
      </c>
      <c r="H344" s="4" t="s">
        <v>92</v>
      </c>
      <c r="I344" s="4"/>
      <c r="J344" s="4"/>
      <c r="K344" s="4">
        <v>233</v>
      </c>
      <c r="L344" s="4">
        <v>24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210</v>
      </c>
      <c r="F345" s="4">
        <f>ROUND(Source!X319,O345)</f>
        <v>34953.89</v>
      </c>
      <c r="G345" s="4" t="s">
        <v>93</v>
      </c>
      <c r="H345" s="4" t="s">
        <v>94</v>
      </c>
      <c r="I345" s="4"/>
      <c r="J345" s="4"/>
      <c r="K345" s="4">
        <v>210</v>
      </c>
      <c r="L345" s="4">
        <v>25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34953.89</v>
      </c>
      <c r="X345" s="4">
        <v>1</v>
      </c>
      <c r="Y345" s="4">
        <v>34953.89</v>
      </c>
      <c r="Z345" s="4"/>
      <c r="AA345" s="4"/>
      <c r="AB345" s="4"/>
    </row>
    <row r="346" spans="1:206" x14ac:dyDescent="0.2">
      <c r="A346" s="4">
        <v>50</v>
      </c>
      <c r="B346" s="4">
        <v>0</v>
      </c>
      <c r="C346" s="4">
        <v>0</v>
      </c>
      <c r="D346" s="4">
        <v>1</v>
      </c>
      <c r="E346" s="4">
        <v>211</v>
      </c>
      <c r="F346" s="4">
        <f>ROUND(Source!Y319,O346)</f>
        <v>4993.42</v>
      </c>
      <c r="G346" s="4" t="s">
        <v>95</v>
      </c>
      <c r="H346" s="4" t="s">
        <v>96</v>
      </c>
      <c r="I346" s="4"/>
      <c r="J346" s="4"/>
      <c r="K346" s="4">
        <v>211</v>
      </c>
      <c r="L346" s="4">
        <v>26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4993.42</v>
      </c>
      <c r="X346" s="4">
        <v>1</v>
      </c>
      <c r="Y346" s="4">
        <v>4993.42</v>
      </c>
      <c r="Z346" s="4"/>
      <c r="AA346" s="4"/>
      <c r="AB346" s="4"/>
    </row>
    <row r="347" spans="1:206" x14ac:dyDescent="0.2">
      <c r="A347" s="4">
        <v>50</v>
      </c>
      <c r="B347" s="4">
        <v>0</v>
      </c>
      <c r="C347" s="4">
        <v>0</v>
      </c>
      <c r="D347" s="4">
        <v>1</v>
      </c>
      <c r="E347" s="4">
        <v>224</v>
      </c>
      <c r="F347" s="4">
        <f>ROUND(Source!AR319,O347)</f>
        <v>90687.8</v>
      </c>
      <c r="G347" s="4" t="s">
        <v>97</v>
      </c>
      <c r="H347" s="4" t="s">
        <v>98</v>
      </c>
      <c r="I347" s="4"/>
      <c r="J347" s="4"/>
      <c r="K347" s="4">
        <v>224</v>
      </c>
      <c r="L347" s="4">
        <v>27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90687.8</v>
      </c>
      <c r="X347" s="4">
        <v>1</v>
      </c>
      <c r="Y347" s="4">
        <v>90687.8</v>
      </c>
      <c r="Z347" s="4"/>
      <c r="AA347" s="4"/>
      <c r="AB347" s="4"/>
    </row>
    <row r="349" spans="1:206" x14ac:dyDescent="0.2">
      <c r="A349" s="1">
        <v>5</v>
      </c>
      <c r="B349" s="1">
        <v>1</v>
      </c>
      <c r="C349" s="1"/>
      <c r="D349" s="1">
        <f>ROW(A356)</f>
        <v>356</v>
      </c>
      <c r="E349" s="1"/>
      <c r="F349" s="1" t="s">
        <v>100</v>
      </c>
      <c r="G349" s="1" t="s">
        <v>381</v>
      </c>
      <c r="H349" s="1" t="s">
        <v>3</v>
      </c>
      <c r="I349" s="1">
        <v>0</v>
      </c>
      <c r="J349" s="1"/>
      <c r="K349" s="1">
        <v>-1</v>
      </c>
      <c r="L349" s="1"/>
      <c r="M349" s="1" t="s">
        <v>3</v>
      </c>
      <c r="N349" s="1"/>
      <c r="O349" s="1"/>
      <c r="P349" s="1"/>
      <c r="Q349" s="1"/>
      <c r="R349" s="1"/>
      <c r="S349" s="1">
        <v>0</v>
      </c>
      <c r="T349" s="1"/>
      <c r="U349" s="1" t="s">
        <v>3</v>
      </c>
      <c r="V349" s="1">
        <v>0</v>
      </c>
      <c r="W349" s="1"/>
      <c r="X349" s="1"/>
      <c r="Y349" s="1"/>
      <c r="Z349" s="1"/>
      <c r="AA349" s="1"/>
      <c r="AB349" s="1" t="s">
        <v>3</v>
      </c>
      <c r="AC349" s="1" t="s">
        <v>3</v>
      </c>
      <c r="AD349" s="1" t="s">
        <v>3</v>
      </c>
      <c r="AE349" s="1" t="s">
        <v>3</v>
      </c>
      <c r="AF349" s="1" t="s">
        <v>3</v>
      </c>
      <c r="AG349" s="1" t="s">
        <v>3</v>
      </c>
      <c r="AH349" s="1"/>
      <c r="AI349" s="1"/>
      <c r="AJ349" s="1"/>
      <c r="AK349" s="1"/>
      <c r="AL349" s="1"/>
      <c r="AM349" s="1"/>
      <c r="AN349" s="1"/>
      <c r="AO349" s="1"/>
      <c r="AP349" s="1" t="s">
        <v>3</v>
      </c>
      <c r="AQ349" s="1" t="s">
        <v>3</v>
      </c>
      <c r="AR349" s="1" t="s">
        <v>3</v>
      </c>
      <c r="AS349" s="1"/>
      <c r="AT349" s="1"/>
      <c r="AU349" s="1"/>
      <c r="AV349" s="1"/>
      <c r="AW349" s="1"/>
      <c r="AX349" s="1"/>
      <c r="AY349" s="1"/>
      <c r="AZ349" s="1" t="s">
        <v>3</v>
      </c>
      <c r="BA349" s="1"/>
      <c r="BB349" s="1" t="s">
        <v>3</v>
      </c>
      <c r="BC349" s="1" t="s">
        <v>3</v>
      </c>
      <c r="BD349" s="1" t="s">
        <v>3</v>
      </c>
      <c r="BE349" s="1" t="s">
        <v>3</v>
      </c>
      <c r="BF349" s="1" t="s">
        <v>3</v>
      </c>
      <c r="BG349" s="1" t="s">
        <v>3</v>
      </c>
      <c r="BH349" s="1" t="s">
        <v>3</v>
      </c>
      <c r="BI349" s="1" t="s">
        <v>3</v>
      </c>
      <c r="BJ349" s="1" t="s">
        <v>3</v>
      </c>
      <c r="BK349" s="1" t="s">
        <v>3</v>
      </c>
      <c r="BL349" s="1" t="s">
        <v>3</v>
      </c>
      <c r="BM349" s="1" t="s">
        <v>3</v>
      </c>
      <c r="BN349" s="1" t="s">
        <v>3</v>
      </c>
      <c r="BO349" s="1" t="s">
        <v>3</v>
      </c>
      <c r="BP349" s="1" t="s">
        <v>3</v>
      </c>
      <c r="BQ349" s="1"/>
      <c r="BR349" s="1"/>
      <c r="BS349" s="1"/>
      <c r="BT349" s="1"/>
      <c r="BU349" s="1"/>
      <c r="BV349" s="1"/>
      <c r="BW349" s="1"/>
      <c r="BX349" s="1">
        <v>0</v>
      </c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>
        <v>0</v>
      </c>
    </row>
    <row r="351" spans="1:206" x14ac:dyDescent="0.2">
      <c r="A351" s="2">
        <v>52</v>
      </c>
      <c r="B351" s="2">
        <f t="shared" ref="B351:G351" si="325">B356</f>
        <v>1</v>
      </c>
      <c r="C351" s="2">
        <f t="shared" si="325"/>
        <v>5</v>
      </c>
      <c r="D351" s="2">
        <f t="shared" si="325"/>
        <v>349</v>
      </c>
      <c r="E351" s="2">
        <f t="shared" si="325"/>
        <v>0</v>
      </c>
      <c r="F351" s="2" t="str">
        <f t="shared" si="325"/>
        <v>Новый подраздел</v>
      </c>
      <c r="G351" s="2" t="str">
        <f t="shared" si="325"/>
        <v>4.2  Система молниезащиты и заземления</v>
      </c>
      <c r="H351" s="2"/>
      <c r="I351" s="2"/>
      <c r="J351" s="2"/>
      <c r="K351" s="2"/>
      <c r="L351" s="2"/>
      <c r="M351" s="2"/>
      <c r="N351" s="2"/>
      <c r="O351" s="2">
        <f t="shared" ref="O351:AT351" si="326">O356</f>
        <v>0</v>
      </c>
      <c r="P351" s="2">
        <f t="shared" si="326"/>
        <v>0</v>
      </c>
      <c r="Q351" s="2">
        <f t="shared" si="326"/>
        <v>0</v>
      </c>
      <c r="R351" s="2">
        <f t="shared" si="326"/>
        <v>0</v>
      </c>
      <c r="S351" s="2">
        <f t="shared" si="326"/>
        <v>0</v>
      </c>
      <c r="T351" s="2">
        <f t="shared" si="326"/>
        <v>0</v>
      </c>
      <c r="U351" s="2">
        <f t="shared" si="326"/>
        <v>0</v>
      </c>
      <c r="V351" s="2">
        <f t="shared" si="326"/>
        <v>0</v>
      </c>
      <c r="W351" s="2">
        <f t="shared" si="326"/>
        <v>0</v>
      </c>
      <c r="X351" s="2">
        <f t="shared" si="326"/>
        <v>0</v>
      </c>
      <c r="Y351" s="2">
        <f t="shared" si="326"/>
        <v>0</v>
      </c>
      <c r="Z351" s="2">
        <f t="shared" si="326"/>
        <v>0</v>
      </c>
      <c r="AA351" s="2">
        <f t="shared" si="326"/>
        <v>0</v>
      </c>
      <c r="AB351" s="2">
        <f t="shared" si="326"/>
        <v>0</v>
      </c>
      <c r="AC351" s="2">
        <f t="shared" si="326"/>
        <v>0</v>
      </c>
      <c r="AD351" s="2">
        <f t="shared" si="326"/>
        <v>0</v>
      </c>
      <c r="AE351" s="2">
        <f t="shared" si="326"/>
        <v>0</v>
      </c>
      <c r="AF351" s="2">
        <f t="shared" si="326"/>
        <v>0</v>
      </c>
      <c r="AG351" s="2">
        <f t="shared" si="326"/>
        <v>0</v>
      </c>
      <c r="AH351" s="2">
        <f t="shared" si="326"/>
        <v>0</v>
      </c>
      <c r="AI351" s="2">
        <f t="shared" si="326"/>
        <v>0</v>
      </c>
      <c r="AJ351" s="2">
        <f t="shared" si="326"/>
        <v>0</v>
      </c>
      <c r="AK351" s="2">
        <f t="shared" si="326"/>
        <v>0</v>
      </c>
      <c r="AL351" s="2">
        <f t="shared" si="326"/>
        <v>0</v>
      </c>
      <c r="AM351" s="2">
        <f t="shared" si="326"/>
        <v>0</v>
      </c>
      <c r="AN351" s="2">
        <f t="shared" si="326"/>
        <v>0</v>
      </c>
      <c r="AO351" s="2">
        <f t="shared" si="326"/>
        <v>0</v>
      </c>
      <c r="AP351" s="2">
        <f t="shared" si="326"/>
        <v>0</v>
      </c>
      <c r="AQ351" s="2">
        <f t="shared" si="326"/>
        <v>0</v>
      </c>
      <c r="AR351" s="2">
        <f t="shared" si="326"/>
        <v>0</v>
      </c>
      <c r="AS351" s="2">
        <f t="shared" si="326"/>
        <v>0</v>
      </c>
      <c r="AT351" s="2">
        <f t="shared" si="326"/>
        <v>0</v>
      </c>
      <c r="AU351" s="2">
        <f t="shared" ref="AU351:BZ351" si="327">AU356</f>
        <v>0</v>
      </c>
      <c r="AV351" s="2">
        <f t="shared" si="327"/>
        <v>0</v>
      </c>
      <c r="AW351" s="2">
        <f t="shared" si="327"/>
        <v>0</v>
      </c>
      <c r="AX351" s="2">
        <f t="shared" si="327"/>
        <v>0</v>
      </c>
      <c r="AY351" s="2">
        <f t="shared" si="327"/>
        <v>0</v>
      </c>
      <c r="AZ351" s="2">
        <f t="shared" si="327"/>
        <v>0</v>
      </c>
      <c r="BA351" s="2">
        <f t="shared" si="327"/>
        <v>0</v>
      </c>
      <c r="BB351" s="2">
        <f t="shared" si="327"/>
        <v>0</v>
      </c>
      <c r="BC351" s="2">
        <f t="shared" si="327"/>
        <v>0</v>
      </c>
      <c r="BD351" s="2">
        <f t="shared" si="327"/>
        <v>0</v>
      </c>
      <c r="BE351" s="2">
        <f t="shared" si="327"/>
        <v>0</v>
      </c>
      <c r="BF351" s="2">
        <f t="shared" si="327"/>
        <v>0</v>
      </c>
      <c r="BG351" s="2">
        <f t="shared" si="327"/>
        <v>0</v>
      </c>
      <c r="BH351" s="2">
        <f t="shared" si="327"/>
        <v>0</v>
      </c>
      <c r="BI351" s="2">
        <f t="shared" si="327"/>
        <v>0</v>
      </c>
      <c r="BJ351" s="2">
        <f t="shared" si="327"/>
        <v>0</v>
      </c>
      <c r="BK351" s="2">
        <f t="shared" si="327"/>
        <v>0</v>
      </c>
      <c r="BL351" s="2">
        <f t="shared" si="327"/>
        <v>0</v>
      </c>
      <c r="BM351" s="2">
        <f t="shared" si="327"/>
        <v>0</v>
      </c>
      <c r="BN351" s="2">
        <f t="shared" si="327"/>
        <v>0</v>
      </c>
      <c r="BO351" s="2">
        <f t="shared" si="327"/>
        <v>0</v>
      </c>
      <c r="BP351" s="2">
        <f t="shared" si="327"/>
        <v>0</v>
      </c>
      <c r="BQ351" s="2">
        <f t="shared" si="327"/>
        <v>0</v>
      </c>
      <c r="BR351" s="2">
        <f t="shared" si="327"/>
        <v>0</v>
      </c>
      <c r="BS351" s="2">
        <f t="shared" si="327"/>
        <v>0</v>
      </c>
      <c r="BT351" s="2">
        <f t="shared" si="327"/>
        <v>0</v>
      </c>
      <c r="BU351" s="2">
        <f t="shared" si="327"/>
        <v>0</v>
      </c>
      <c r="BV351" s="2">
        <f t="shared" si="327"/>
        <v>0</v>
      </c>
      <c r="BW351" s="2">
        <f t="shared" si="327"/>
        <v>0</v>
      </c>
      <c r="BX351" s="2">
        <f t="shared" si="327"/>
        <v>0</v>
      </c>
      <c r="BY351" s="2">
        <f t="shared" si="327"/>
        <v>0</v>
      </c>
      <c r="BZ351" s="2">
        <f t="shared" si="327"/>
        <v>0</v>
      </c>
      <c r="CA351" s="2">
        <f t="shared" ref="CA351:DF351" si="328">CA356</f>
        <v>0</v>
      </c>
      <c r="CB351" s="2">
        <f t="shared" si="328"/>
        <v>0</v>
      </c>
      <c r="CC351" s="2">
        <f t="shared" si="328"/>
        <v>0</v>
      </c>
      <c r="CD351" s="2">
        <f t="shared" si="328"/>
        <v>0</v>
      </c>
      <c r="CE351" s="2">
        <f t="shared" si="328"/>
        <v>0</v>
      </c>
      <c r="CF351" s="2">
        <f t="shared" si="328"/>
        <v>0</v>
      </c>
      <c r="CG351" s="2">
        <f t="shared" si="328"/>
        <v>0</v>
      </c>
      <c r="CH351" s="2">
        <f t="shared" si="328"/>
        <v>0</v>
      </c>
      <c r="CI351" s="2">
        <f t="shared" si="328"/>
        <v>0</v>
      </c>
      <c r="CJ351" s="2">
        <f t="shared" si="328"/>
        <v>0</v>
      </c>
      <c r="CK351" s="2">
        <f t="shared" si="328"/>
        <v>0</v>
      </c>
      <c r="CL351" s="2">
        <f t="shared" si="328"/>
        <v>0</v>
      </c>
      <c r="CM351" s="2">
        <f t="shared" si="328"/>
        <v>0</v>
      </c>
      <c r="CN351" s="2">
        <f t="shared" si="328"/>
        <v>0</v>
      </c>
      <c r="CO351" s="2">
        <f t="shared" si="328"/>
        <v>0</v>
      </c>
      <c r="CP351" s="2">
        <f t="shared" si="328"/>
        <v>0</v>
      </c>
      <c r="CQ351" s="2">
        <f t="shared" si="328"/>
        <v>0</v>
      </c>
      <c r="CR351" s="2">
        <f t="shared" si="328"/>
        <v>0</v>
      </c>
      <c r="CS351" s="2">
        <f t="shared" si="328"/>
        <v>0</v>
      </c>
      <c r="CT351" s="2">
        <f t="shared" si="328"/>
        <v>0</v>
      </c>
      <c r="CU351" s="2">
        <f t="shared" si="328"/>
        <v>0</v>
      </c>
      <c r="CV351" s="2">
        <f t="shared" si="328"/>
        <v>0</v>
      </c>
      <c r="CW351" s="2">
        <f t="shared" si="328"/>
        <v>0</v>
      </c>
      <c r="CX351" s="2">
        <f t="shared" si="328"/>
        <v>0</v>
      </c>
      <c r="CY351" s="2">
        <f t="shared" si="328"/>
        <v>0</v>
      </c>
      <c r="CZ351" s="2">
        <f t="shared" si="328"/>
        <v>0</v>
      </c>
      <c r="DA351" s="2">
        <f t="shared" si="328"/>
        <v>0</v>
      </c>
      <c r="DB351" s="2">
        <f t="shared" si="328"/>
        <v>0</v>
      </c>
      <c r="DC351" s="2">
        <f t="shared" si="328"/>
        <v>0</v>
      </c>
      <c r="DD351" s="2">
        <f t="shared" si="328"/>
        <v>0</v>
      </c>
      <c r="DE351" s="2">
        <f t="shared" si="328"/>
        <v>0</v>
      </c>
      <c r="DF351" s="2">
        <f t="shared" si="328"/>
        <v>0</v>
      </c>
      <c r="DG351" s="3">
        <f t="shared" ref="DG351:EL351" si="329">DG356</f>
        <v>0</v>
      </c>
      <c r="DH351" s="3">
        <f t="shared" si="329"/>
        <v>0</v>
      </c>
      <c r="DI351" s="3">
        <f t="shared" si="329"/>
        <v>0</v>
      </c>
      <c r="DJ351" s="3">
        <f t="shared" si="329"/>
        <v>0</v>
      </c>
      <c r="DK351" s="3">
        <f t="shared" si="329"/>
        <v>0</v>
      </c>
      <c r="DL351" s="3">
        <f t="shared" si="329"/>
        <v>0</v>
      </c>
      <c r="DM351" s="3">
        <f t="shared" si="329"/>
        <v>0</v>
      </c>
      <c r="DN351" s="3">
        <f t="shared" si="329"/>
        <v>0</v>
      </c>
      <c r="DO351" s="3">
        <f t="shared" si="329"/>
        <v>0</v>
      </c>
      <c r="DP351" s="3">
        <f t="shared" si="329"/>
        <v>0</v>
      </c>
      <c r="DQ351" s="3">
        <f t="shared" si="329"/>
        <v>0</v>
      </c>
      <c r="DR351" s="3">
        <f t="shared" si="329"/>
        <v>0</v>
      </c>
      <c r="DS351" s="3">
        <f t="shared" si="329"/>
        <v>0</v>
      </c>
      <c r="DT351" s="3">
        <f t="shared" si="329"/>
        <v>0</v>
      </c>
      <c r="DU351" s="3">
        <f t="shared" si="329"/>
        <v>0</v>
      </c>
      <c r="DV351" s="3">
        <f t="shared" si="329"/>
        <v>0</v>
      </c>
      <c r="DW351" s="3">
        <f t="shared" si="329"/>
        <v>0</v>
      </c>
      <c r="DX351" s="3">
        <f t="shared" si="329"/>
        <v>0</v>
      </c>
      <c r="DY351" s="3">
        <f t="shared" si="329"/>
        <v>0</v>
      </c>
      <c r="DZ351" s="3">
        <f t="shared" si="329"/>
        <v>0</v>
      </c>
      <c r="EA351" s="3">
        <f t="shared" si="329"/>
        <v>0</v>
      </c>
      <c r="EB351" s="3">
        <f t="shared" si="329"/>
        <v>0</v>
      </c>
      <c r="EC351" s="3">
        <f t="shared" si="329"/>
        <v>0</v>
      </c>
      <c r="ED351" s="3">
        <f t="shared" si="329"/>
        <v>0</v>
      </c>
      <c r="EE351" s="3">
        <f t="shared" si="329"/>
        <v>0</v>
      </c>
      <c r="EF351" s="3">
        <f t="shared" si="329"/>
        <v>0</v>
      </c>
      <c r="EG351" s="3">
        <f t="shared" si="329"/>
        <v>0</v>
      </c>
      <c r="EH351" s="3">
        <f t="shared" si="329"/>
        <v>0</v>
      </c>
      <c r="EI351" s="3">
        <f t="shared" si="329"/>
        <v>0</v>
      </c>
      <c r="EJ351" s="3">
        <f t="shared" si="329"/>
        <v>0</v>
      </c>
      <c r="EK351" s="3">
        <f t="shared" si="329"/>
        <v>0</v>
      </c>
      <c r="EL351" s="3">
        <f t="shared" si="329"/>
        <v>0</v>
      </c>
      <c r="EM351" s="3">
        <f t="shared" ref="EM351:FR351" si="330">EM356</f>
        <v>0</v>
      </c>
      <c r="EN351" s="3">
        <f t="shared" si="330"/>
        <v>0</v>
      </c>
      <c r="EO351" s="3">
        <f t="shared" si="330"/>
        <v>0</v>
      </c>
      <c r="EP351" s="3">
        <f t="shared" si="330"/>
        <v>0</v>
      </c>
      <c r="EQ351" s="3">
        <f t="shared" si="330"/>
        <v>0</v>
      </c>
      <c r="ER351" s="3">
        <f t="shared" si="330"/>
        <v>0</v>
      </c>
      <c r="ES351" s="3">
        <f t="shared" si="330"/>
        <v>0</v>
      </c>
      <c r="ET351" s="3">
        <f t="shared" si="330"/>
        <v>0</v>
      </c>
      <c r="EU351" s="3">
        <f t="shared" si="330"/>
        <v>0</v>
      </c>
      <c r="EV351" s="3">
        <f t="shared" si="330"/>
        <v>0</v>
      </c>
      <c r="EW351" s="3">
        <f t="shared" si="330"/>
        <v>0</v>
      </c>
      <c r="EX351" s="3">
        <f t="shared" si="330"/>
        <v>0</v>
      </c>
      <c r="EY351" s="3">
        <f t="shared" si="330"/>
        <v>0</v>
      </c>
      <c r="EZ351" s="3">
        <f t="shared" si="330"/>
        <v>0</v>
      </c>
      <c r="FA351" s="3">
        <f t="shared" si="330"/>
        <v>0</v>
      </c>
      <c r="FB351" s="3">
        <f t="shared" si="330"/>
        <v>0</v>
      </c>
      <c r="FC351" s="3">
        <f t="shared" si="330"/>
        <v>0</v>
      </c>
      <c r="FD351" s="3">
        <f t="shared" si="330"/>
        <v>0</v>
      </c>
      <c r="FE351" s="3">
        <f t="shared" si="330"/>
        <v>0</v>
      </c>
      <c r="FF351" s="3">
        <f t="shared" si="330"/>
        <v>0</v>
      </c>
      <c r="FG351" s="3">
        <f t="shared" si="330"/>
        <v>0</v>
      </c>
      <c r="FH351" s="3">
        <f t="shared" si="330"/>
        <v>0</v>
      </c>
      <c r="FI351" s="3">
        <f t="shared" si="330"/>
        <v>0</v>
      </c>
      <c r="FJ351" s="3">
        <f t="shared" si="330"/>
        <v>0</v>
      </c>
      <c r="FK351" s="3">
        <f t="shared" si="330"/>
        <v>0</v>
      </c>
      <c r="FL351" s="3">
        <f t="shared" si="330"/>
        <v>0</v>
      </c>
      <c r="FM351" s="3">
        <f t="shared" si="330"/>
        <v>0</v>
      </c>
      <c r="FN351" s="3">
        <f t="shared" si="330"/>
        <v>0</v>
      </c>
      <c r="FO351" s="3">
        <f t="shared" si="330"/>
        <v>0</v>
      </c>
      <c r="FP351" s="3">
        <f t="shared" si="330"/>
        <v>0</v>
      </c>
      <c r="FQ351" s="3">
        <f t="shared" si="330"/>
        <v>0</v>
      </c>
      <c r="FR351" s="3">
        <f t="shared" si="330"/>
        <v>0</v>
      </c>
      <c r="FS351" s="3">
        <f t="shared" ref="FS351:GX351" si="331">FS356</f>
        <v>0</v>
      </c>
      <c r="FT351" s="3">
        <f t="shared" si="331"/>
        <v>0</v>
      </c>
      <c r="FU351" s="3">
        <f t="shared" si="331"/>
        <v>0</v>
      </c>
      <c r="FV351" s="3">
        <f t="shared" si="331"/>
        <v>0</v>
      </c>
      <c r="FW351" s="3">
        <f t="shared" si="331"/>
        <v>0</v>
      </c>
      <c r="FX351" s="3">
        <f t="shared" si="331"/>
        <v>0</v>
      </c>
      <c r="FY351" s="3">
        <f t="shared" si="331"/>
        <v>0</v>
      </c>
      <c r="FZ351" s="3">
        <f t="shared" si="331"/>
        <v>0</v>
      </c>
      <c r="GA351" s="3">
        <f t="shared" si="331"/>
        <v>0</v>
      </c>
      <c r="GB351" s="3">
        <f t="shared" si="331"/>
        <v>0</v>
      </c>
      <c r="GC351" s="3">
        <f t="shared" si="331"/>
        <v>0</v>
      </c>
      <c r="GD351" s="3">
        <f t="shared" si="331"/>
        <v>0</v>
      </c>
      <c r="GE351" s="3">
        <f t="shared" si="331"/>
        <v>0</v>
      </c>
      <c r="GF351" s="3">
        <f t="shared" si="331"/>
        <v>0</v>
      </c>
      <c r="GG351" s="3">
        <f t="shared" si="331"/>
        <v>0</v>
      </c>
      <c r="GH351" s="3">
        <f t="shared" si="331"/>
        <v>0</v>
      </c>
      <c r="GI351" s="3">
        <f t="shared" si="331"/>
        <v>0</v>
      </c>
      <c r="GJ351" s="3">
        <f t="shared" si="331"/>
        <v>0</v>
      </c>
      <c r="GK351" s="3">
        <f t="shared" si="331"/>
        <v>0</v>
      </c>
      <c r="GL351" s="3">
        <f t="shared" si="331"/>
        <v>0</v>
      </c>
      <c r="GM351" s="3">
        <f t="shared" si="331"/>
        <v>0</v>
      </c>
      <c r="GN351" s="3">
        <f t="shared" si="331"/>
        <v>0</v>
      </c>
      <c r="GO351" s="3">
        <f t="shared" si="331"/>
        <v>0</v>
      </c>
      <c r="GP351" s="3">
        <f t="shared" si="331"/>
        <v>0</v>
      </c>
      <c r="GQ351" s="3">
        <f t="shared" si="331"/>
        <v>0</v>
      </c>
      <c r="GR351" s="3">
        <f t="shared" si="331"/>
        <v>0</v>
      </c>
      <c r="GS351" s="3">
        <f t="shared" si="331"/>
        <v>0</v>
      </c>
      <c r="GT351" s="3">
        <f t="shared" si="331"/>
        <v>0</v>
      </c>
      <c r="GU351" s="3">
        <f t="shared" si="331"/>
        <v>0</v>
      </c>
      <c r="GV351" s="3">
        <f t="shared" si="331"/>
        <v>0</v>
      </c>
      <c r="GW351" s="3">
        <f t="shared" si="331"/>
        <v>0</v>
      </c>
      <c r="GX351" s="3">
        <f t="shared" si="331"/>
        <v>0</v>
      </c>
    </row>
    <row r="353" spans="1:245" x14ac:dyDescent="0.2">
      <c r="A353">
        <v>17</v>
      </c>
      <c r="B353">
        <v>1</v>
      </c>
      <c r="D353">
        <f>ROW(EtalonRes!A296)</f>
        <v>296</v>
      </c>
      <c r="E353" t="s">
        <v>3</v>
      </c>
      <c r="F353" t="s">
        <v>382</v>
      </c>
      <c r="G353" t="s">
        <v>383</v>
      </c>
      <c r="H353" t="s">
        <v>17</v>
      </c>
      <c r="I353">
        <f>ROUND(ROUND((2020+2500+100+30+50)*0.1/100,9),9)</f>
        <v>4.7</v>
      </c>
      <c r="J353">
        <v>0</v>
      </c>
      <c r="K353">
        <f>ROUND(ROUND((2020+2500+100+30+50)*0.1/100,9),9)</f>
        <v>4.7</v>
      </c>
      <c r="O353">
        <f>ROUND(CP353,2)</f>
        <v>28033.200000000001</v>
      </c>
      <c r="P353">
        <f>ROUND(CQ353*I353,2)</f>
        <v>105.8</v>
      </c>
      <c r="Q353">
        <f>ROUND(CR353*I353,2)</f>
        <v>0</v>
      </c>
      <c r="R353">
        <f>ROUND(CS353*I353,2)</f>
        <v>0</v>
      </c>
      <c r="S353">
        <f>ROUND(CT353*I353,2)</f>
        <v>27927.4</v>
      </c>
      <c r="T353">
        <f>ROUND(CU353*I353,2)</f>
        <v>0</v>
      </c>
      <c r="U353">
        <f>CV353*I353</f>
        <v>52.17</v>
      </c>
      <c r="V353">
        <f>CW353*I353</f>
        <v>0</v>
      </c>
      <c r="W353">
        <f>ROUND(CX353*I353,2)</f>
        <v>0</v>
      </c>
      <c r="X353">
        <f>ROUND(CY353,2)</f>
        <v>19549.18</v>
      </c>
      <c r="Y353">
        <f>ROUND(CZ353,2)</f>
        <v>2792.74</v>
      </c>
      <c r="AA353">
        <v>-1</v>
      </c>
      <c r="AB353">
        <f>ROUND((AC353+AD353+AF353),6)</f>
        <v>5964.51</v>
      </c>
      <c r="AC353">
        <f>ROUND((ES353),6)</f>
        <v>22.51</v>
      </c>
      <c r="AD353">
        <f>ROUND((((ET353)-(EU353))+AE353),6)</f>
        <v>0</v>
      </c>
      <c r="AE353">
        <f>ROUND((EU353),6)</f>
        <v>0</v>
      </c>
      <c r="AF353">
        <f>ROUND((EV353),6)</f>
        <v>5942</v>
      </c>
      <c r="AG353">
        <f>ROUND((AP353),6)</f>
        <v>0</v>
      </c>
      <c r="AH353">
        <f>(EW353)</f>
        <v>11.1</v>
      </c>
      <c r="AI353">
        <f>(EX353)</f>
        <v>0</v>
      </c>
      <c r="AJ353">
        <f>(AS353)</f>
        <v>0</v>
      </c>
      <c r="AK353">
        <v>5964.51</v>
      </c>
      <c r="AL353">
        <v>22.51</v>
      </c>
      <c r="AM353">
        <v>0</v>
      </c>
      <c r="AN353">
        <v>0</v>
      </c>
      <c r="AO353">
        <v>5942</v>
      </c>
      <c r="AP353">
        <v>0</v>
      </c>
      <c r="AQ353">
        <v>11.1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384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>(P353+Q353+S353)</f>
        <v>28033.200000000001</v>
      </c>
      <c r="CQ353">
        <f>(AC353*BC353*AW353)</f>
        <v>22.51</v>
      </c>
      <c r="CR353">
        <f>((((ET353)*BB353-(EU353)*BS353)+AE353*BS353)*AV353)</f>
        <v>0</v>
      </c>
      <c r="CS353">
        <f>(AE353*BS353*AV353)</f>
        <v>0</v>
      </c>
      <c r="CT353">
        <f>(AF353*BA353*AV353)</f>
        <v>5942</v>
      </c>
      <c r="CU353">
        <f>AG353</f>
        <v>0</v>
      </c>
      <c r="CV353">
        <f>(AH353*AV353)</f>
        <v>11.1</v>
      </c>
      <c r="CW353">
        <f>AI353</f>
        <v>0</v>
      </c>
      <c r="CX353">
        <f>AJ353</f>
        <v>0</v>
      </c>
      <c r="CY353">
        <f>((S353*BZ353)/100)</f>
        <v>19549.18</v>
      </c>
      <c r="CZ353">
        <f>((S353*CA353)/100)</f>
        <v>2792.74</v>
      </c>
      <c r="DC353" t="s">
        <v>3</v>
      </c>
      <c r="DD353" t="s">
        <v>3</v>
      </c>
      <c r="DE353" t="s">
        <v>3</v>
      </c>
      <c r="DF353" t="s">
        <v>3</v>
      </c>
      <c r="DG353" t="s">
        <v>3</v>
      </c>
      <c r="DH353" t="s">
        <v>3</v>
      </c>
      <c r="DI353" t="s">
        <v>3</v>
      </c>
      <c r="DJ353" t="s">
        <v>3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1003</v>
      </c>
      <c r="DV353" t="s">
        <v>17</v>
      </c>
      <c r="DW353" t="s">
        <v>17</v>
      </c>
      <c r="DX353">
        <v>100</v>
      </c>
      <c r="DZ353" t="s">
        <v>3</v>
      </c>
      <c r="EA353" t="s">
        <v>3</v>
      </c>
      <c r="EB353" t="s">
        <v>3</v>
      </c>
      <c r="EC353" t="s">
        <v>3</v>
      </c>
      <c r="EE353">
        <v>1441815344</v>
      </c>
      <c r="EF353">
        <v>1</v>
      </c>
      <c r="EG353" t="s">
        <v>19</v>
      </c>
      <c r="EH353">
        <v>0</v>
      </c>
      <c r="EI353" t="s">
        <v>3</v>
      </c>
      <c r="EJ353">
        <v>4</v>
      </c>
      <c r="EK353">
        <v>0</v>
      </c>
      <c r="EL353" t="s">
        <v>20</v>
      </c>
      <c r="EM353" t="s">
        <v>21</v>
      </c>
      <c r="EO353" t="s">
        <v>3</v>
      </c>
      <c r="EQ353">
        <v>1311744</v>
      </c>
      <c r="ER353">
        <v>5964.51</v>
      </c>
      <c r="ES353">
        <v>22.51</v>
      </c>
      <c r="ET353">
        <v>0</v>
      </c>
      <c r="EU353">
        <v>0</v>
      </c>
      <c r="EV353">
        <v>5942</v>
      </c>
      <c r="EW353">
        <v>11.1</v>
      </c>
      <c r="EX353">
        <v>0</v>
      </c>
      <c r="EY353">
        <v>0</v>
      </c>
      <c r="FQ353">
        <v>0</v>
      </c>
      <c r="FR353">
        <f>ROUND(IF(BI353=3,GM353,0),2)</f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2025558267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</v>
      </c>
      <c r="GL353">
        <f>ROUND(IF(AND(BH353=3,BI353=3,FS353&lt;&gt;0),P353,0),2)</f>
        <v>0</v>
      </c>
      <c r="GM353">
        <f>ROUND(O353+X353+Y353+GK353,2)+GX353</f>
        <v>50375.12</v>
      </c>
      <c r="GN353">
        <f>IF(OR(BI353=0,BI353=1),GM353-GX353,0)</f>
        <v>0</v>
      </c>
      <c r="GO353">
        <f>IF(BI353=2,GM353-GX353,0)</f>
        <v>0</v>
      </c>
      <c r="GP353">
        <f>IF(BI353=4,GM353-GX353,0)</f>
        <v>50375.12</v>
      </c>
      <c r="GR353">
        <v>0</v>
      </c>
      <c r="GS353">
        <v>3</v>
      </c>
      <c r="GT353">
        <v>0</v>
      </c>
      <c r="GU353" t="s">
        <v>3</v>
      </c>
      <c r="GV353">
        <f>ROUND((GT353),6)</f>
        <v>0</v>
      </c>
      <c r="GW353">
        <v>1</v>
      </c>
      <c r="GX353">
        <f>ROUND(HC353*I353,2)</f>
        <v>0</v>
      </c>
      <c r="HA353">
        <v>0</v>
      </c>
      <c r="HB353">
        <v>0</v>
      </c>
      <c r="HC353">
        <f>GV353*GW353</f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D354">
        <f>ROW(EtalonRes!A297)</f>
        <v>297</v>
      </c>
      <c r="E354" t="s">
        <v>3</v>
      </c>
      <c r="F354" t="s">
        <v>385</v>
      </c>
      <c r="G354" t="s">
        <v>386</v>
      </c>
      <c r="H354" t="s">
        <v>17</v>
      </c>
      <c r="I354">
        <f>ROUND(ROUND((2020+2500+100+30+50)*0.1/100,9),9)</f>
        <v>4.7</v>
      </c>
      <c r="J354">
        <v>0</v>
      </c>
      <c r="K354">
        <f>ROUND(ROUND((2020+2500+100+30+50)*0.1/100,9),9)</f>
        <v>4.7</v>
      </c>
      <c r="O354">
        <f>ROUND(CP354,2)</f>
        <v>956.07</v>
      </c>
      <c r="P354">
        <f>ROUND(CQ354*I354,2)</f>
        <v>0</v>
      </c>
      <c r="Q354">
        <f>ROUND(CR354*I354,2)</f>
        <v>0</v>
      </c>
      <c r="R354">
        <f>ROUND(CS354*I354,2)</f>
        <v>0</v>
      </c>
      <c r="S354">
        <f>ROUND(CT354*I354,2)</f>
        <v>956.07</v>
      </c>
      <c r="T354">
        <f>ROUND(CU354*I354,2)</f>
        <v>0</v>
      </c>
      <c r="U354">
        <f>CV354*I354</f>
        <v>1.786</v>
      </c>
      <c r="V354">
        <f>CW354*I354</f>
        <v>0</v>
      </c>
      <c r="W354">
        <f>ROUND(CX354*I354,2)</f>
        <v>0</v>
      </c>
      <c r="X354">
        <f>ROUND(CY354,2)</f>
        <v>669.25</v>
      </c>
      <c r="Y354">
        <f>ROUND(CZ354,2)</f>
        <v>95.61</v>
      </c>
      <c r="AA354">
        <v>-1</v>
      </c>
      <c r="AB354">
        <f>ROUND((AC354+AD354+AF354),6)</f>
        <v>203.42</v>
      </c>
      <c r="AC354">
        <f>ROUND((ES354),6)</f>
        <v>0</v>
      </c>
      <c r="AD354">
        <f>ROUND((((ET354)-(EU354))+AE354),6)</f>
        <v>0</v>
      </c>
      <c r="AE354">
        <f>ROUND((EU354),6)</f>
        <v>0</v>
      </c>
      <c r="AF354">
        <f>ROUND((EV354),6)</f>
        <v>203.42</v>
      </c>
      <c r="AG354">
        <f>ROUND((AP354),6)</f>
        <v>0</v>
      </c>
      <c r="AH354">
        <f>(EW354)</f>
        <v>0.38</v>
      </c>
      <c r="AI354">
        <f>(EX354)</f>
        <v>0</v>
      </c>
      <c r="AJ354">
        <f>(AS354)</f>
        <v>0</v>
      </c>
      <c r="AK354">
        <v>203.42</v>
      </c>
      <c r="AL354">
        <v>0</v>
      </c>
      <c r="AM354">
        <v>0</v>
      </c>
      <c r="AN354">
        <v>0</v>
      </c>
      <c r="AO354">
        <v>203.42</v>
      </c>
      <c r="AP354">
        <v>0</v>
      </c>
      <c r="AQ354">
        <v>0.38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387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>(P354+Q354+S354)</f>
        <v>956.07</v>
      </c>
      <c r="CQ354">
        <f>(AC354*BC354*AW354)</f>
        <v>0</v>
      </c>
      <c r="CR354">
        <f>((((ET354)*BB354-(EU354)*BS354)+AE354*BS354)*AV354)</f>
        <v>0</v>
      </c>
      <c r="CS354">
        <f>(AE354*BS354*AV354)</f>
        <v>0</v>
      </c>
      <c r="CT354">
        <f>(AF354*BA354*AV354)</f>
        <v>203.42</v>
      </c>
      <c r="CU354">
        <f>AG354</f>
        <v>0</v>
      </c>
      <c r="CV354">
        <f>(AH354*AV354)</f>
        <v>0.38</v>
      </c>
      <c r="CW354">
        <f>AI354</f>
        <v>0</v>
      </c>
      <c r="CX354">
        <f>AJ354</f>
        <v>0</v>
      </c>
      <c r="CY354">
        <f>((S354*BZ354)/100)</f>
        <v>669.24900000000014</v>
      </c>
      <c r="CZ354">
        <f>((S354*CA354)/100)</f>
        <v>95.607000000000014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1003</v>
      </c>
      <c r="DV354" t="s">
        <v>17</v>
      </c>
      <c r="DW354" t="s">
        <v>17</v>
      </c>
      <c r="DX354">
        <v>100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19</v>
      </c>
      <c r="EH354">
        <v>0</v>
      </c>
      <c r="EI354" t="s">
        <v>3</v>
      </c>
      <c r="EJ354">
        <v>4</v>
      </c>
      <c r="EK354">
        <v>0</v>
      </c>
      <c r="EL354" t="s">
        <v>20</v>
      </c>
      <c r="EM354" t="s">
        <v>21</v>
      </c>
      <c r="EO354" t="s">
        <v>3</v>
      </c>
      <c r="EQ354">
        <v>1024</v>
      </c>
      <c r="ER354">
        <v>203.42</v>
      </c>
      <c r="ES354">
        <v>0</v>
      </c>
      <c r="ET354">
        <v>0</v>
      </c>
      <c r="EU354">
        <v>0</v>
      </c>
      <c r="EV354">
        <v>203.42</v>
      </c>
      <c r="EW354">
        <v>0.38</v>
      </c>
      <c r="EX354">
        <v>0</v>
      </c>
      <c r="EY354">
        <v>0</v>
      </c>
      <c r="FQ354">
        <v>0</v>
      </c>
      <c r="FR354">
        <f>ROUND(IF(BI354=3,GM354,0),2)</f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-1699704026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>ROUND(IF(AND(BH354=3,BI354=3,FS354&lt;&gt;0),P354,0),2)</f>
        <v>0</v>
      </c>
      <c r="GM354">
        <f>ROUND(O354+X354+Y354+GK354,2)+GX354</f>
        <v>1720.93</v>
      </c>
      <c r="GN354">
        <f>IF(OR(BI354=0,BI354=1),GM354-GX354,0)</f>
        <v>0</v>
      </c>
      <c r="GO354">
        <f>IF(BI354=2,GM354-GX354,0)</f>
        <v>0</v>
      </c>
      <c r="GP354">
        <f>IF(BI354=4,GM354-GX354,0)</f>
        <v>1720.93</v>
      </c>
      <c r="GR354">
        <v>0</v>
      </c>
      <c r="GS354">
        <v>3</v>
      </c>
      <c r="GT354">
        <v>0</v>
      </c>
      <c r="GU354" t="s">
        <v>3</v>
      </c>
      <c r="GV354">
        <f>ROUND((GT354),6)</f>
        <v>0</v>
      </c>
      <c r="GW354">
        <v>1</v>
      </c>
      <c r="GX354">
        <f>ROUND(HC354*I354,2)</f>
        <v>0</v>
      </c>
      <c r="HA354">
        <v>0</v>
      </c>
      <c r="HB354">
        <v>0</v>
      </c>
      <c r="HC354">
        <f>GV354*GW354</f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6" spans="1:245" x14ac:dyDescent="0.2">
      <c r="A356" s="2">
        <v>51</v>
      </c>
      <c r="B356" s="2">
        <f>B349</f>
        <v>1</v>
      </c>
      <c r="C356" s="2">
        <f>A349</f>
        <v>5</v>
      </c>
      <c r="D356" s="2">
        <f>ROW(A349)</f>
        <v>349</v>
      </c>
      <c r="E356" s="2"/>
      <c r="F356" s="2" t="str">
        <f>IF(F349&lt;&gt;"",F349,"")</f>
        <v>Новый подраздел</v>
      </c>
      <c r="G356" s="2" t="str">
        <f>IF(G349&lt;&gt;"",G349,"")</f>
        <v>4.2  Система молниезащиты и заземления</v>
      </c>
      <c r="H356" s="2">
        <v>0</v>
      </c>
      <c r="I356" s="2"/>
      <c r="J356" s="2"/>
      <c r="K356" s="2"/>
      <c r="L356" s="2"/>
      <c r="M356" s="2"/>
      <c r="N356" s="2"/>
      <c r="O356" s="2">
        <f t="shared" ref="O356:T356" si="332">ROUND(AB356,2)</f>
        <v>0</v>
      </c>
      <c r="P356" s="2">
        <f t="shared" si="332"/>
        <v>0</v>
      </c>
      <c r="Q356" s="2">
        <f t="shared" si="332"/>
        <v>0</v>
      </c>
      <c r="R356" s="2">
        <f t="shared" si="332"/>
        <v>0</v>
      </c>
      <c r="S356" s="2">
        <f t="shared" si="332"/>
        <v>0</v>
      </c>
      <c r="T356" s="2">
        <f t="shared" si="332"/>
        <v>0</v>
      </c>
      <c r="U356" s="2">
        <f>AH356</f>
        <v>0</v>
      </c>
      <c r="V356" s="2">
        <f>AI356</f>
        <v>0</v>
      </c>
      <c r="W356" s="2">
        <f>ROUND(AJ356,2)</f>
        <v>0</v>
      </c>
      <c r="X356" s="2">
        <f>ROUND(AK356,2)</f>
        <v>0</v>
      </c>
      <c r="Y356" s="2">
        <f>ROUND(AL356,2)</f>
        <v>0</v>
      </c>
      <c r="Z356" s="2"/>
      <c r="AA356" s="2"/>
      <c r="AB356" s="2">
        <f>ROUND(SUMIF(AA353:AA354,"=1471988752",O353:O354),2)</f>
        <v>0</v>
      </c>
      <c r="AC356" s="2">
        <f>ROUND(SUMIF(AA353:AA354,"=1471988752",P353:P354),2)</f>
        <v>0</v>
      </c>
      <c r="AD356" s="2">
        <f>ROUND(SUMIF(AA353:AA354,"=1471988752",Q353:Q354),2)</f>
        <v>0</v>
      </c>
      <c r="AE356" s="2">
        <f>ROUND(SUMIF(AA353:AA354,"=1471988752",R353:R354),2)</f>
        <v>0</v>
      </c>
      <c r="AF356" s="2">
        <f>ROUND(SUMIF(AA353:AA354,"=1471988752",S353:S354),2)</f>
        <v>0</v>
      </c>
      <c r="AG356" s="2">
        <f>ROUND(SUMIF(AA353:AA354,"=1471988752",T353:T354),2)</f>
        <v>0</v>
      </c>
      <c r="AH356" s="2">
        <f>SUMIF(AA353:AA354,"=1471988752",U353:U354)</f>
        <v>0</v>
      </c>
      <c r="AI356" s="2">
        <f>SUMIF(AA353:AA354,"=1471988752",V353:V354)</f>
        <v>0</v>
      </c>
      <c r="AJ356" s="2">
        <f>ROUND(SUMIF(AA353:AA354,"=1471988752",W353:W354),2)</f>
        <v>0</v>
      </c>
      <c r="AK356" s="2">
        <f>ROUND(SUMIF(AA353:AA354,"=1471988752",X353:X354),2)</f>
        <v>0</v>
      </c>
      <c r="AL356" s="2">
        <f>ROUND(SUMIF(AA353:AA354,"=1471988752",Y353:Y354),2)</f>
        <v>0</v>
      </c>
      <c r="AM356" s="2"/>
      <c r="AN356" s="2"/>
      <c r="AO356" s="2">
        <f t="shared" ref="AO356:BD356" si="333">ROUND(BX356,2)</f>
        <v>0</v>
      </c>
      <c r="AP356" s="2">
        <f t="shared" si="333"/>
        <v>0</v>
      </c>
      <c r="AQ356" s="2">
        <f t="shared" si="333"/>
        <v>0</v>
      </c>
      <c r="AR356" s="2">
        <f t="shared" si="333"/>
        <v>0</v>
      </c>
      <c r="AS356" s="2">
        <f t="shared" si="333"/>
        <v>0</v>
      </c>
      <c r="AT356" s="2">
        <f t="shared" si="333"/>
        <v>0</v>
      </c>
      <c r="AU356" s="2">
        <f t="shared" si="333"/>
        <v>0</v>
      </c>
      <c r="AV356" s="2">
        <f t="shared" si="333"/>
        <v>0</v>
      </c>
      <c r="AW356" s="2">
        <f t="shared" si="333"/>
        <v>0</v>
      </c>
      <c r="AX356" s="2">
        <f t="shared" si="333"/>
        <v>0</v>
      </c>
      <c r="AY356" s="2">
        <f t="shared" si="333"/>
        <v>0</v>
      </c>
      <c r="AZ356" s="2">
        <f t="shared" si="333"/>
        <v>0</v>
      </c>
      <c r="BA356" s="2">
        <f t="shared" si="333"/>
        <v>0</v>
      </c>
      <c r="BB356" s="2">
        <f t="shared" si="333"/>
        <v>0</v>
      </c>
      <c r="BC356" s="2">
        <f t="shared" si="333"/>
        <v>0</v>
      </c>
      <c r="BD356" s="2">
        <f t="shared" si="333"/>
        <v>0</v>
      </c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>
        <f>ROUND(SUMIF(AA353:AA354,"=1471988752",FQ353:FQ354),2)</f>
        <v>0</v>
      </c>
      <c r="BY356" s="2">
        <f>ROUND(SUMIF(AA353:AA354,"=1471988752",FR353:FR354),2)</f>
        <v>0</v>
      </c>
      <c r="BZ356" s="2">
        <f>ROUND(SUMIF(AA353:AA354,"=1471988752",GL353:GL354),2)</f>
        <v>0</v>
      </c>
      <c r="CA356" s="2">
        <f>ROUND(SUMIF(AA353:AA354,"=1471988752",GM353:GM354),2)</f>
        <v>0</v>
      </c>
      <c r="CB356" s="2">
        <f>ROUND(SUMIF(AA353:AA354,"=1471988752",GN353:GN354),2)</f>
        <v>0</v>
      </c>
      <c r="CC356" s="2">
        <f>ROUND(SUMIF(AA353:AA354,"=1471988752",GO353:GO354),2)</f>
        <v>0</v>
      </c>
      <c r="CD356" s="2">
        <f>ROUND(SUMIF(AA353:AA354,"=1471988752",GP353:GP354),2)</f>
        <v>0</v>
      </c>
      <c r="CE356" s="2">
        <f>AC356-BX356</f>
        <v>0</v>
      </c>
      <c r="CF356" s="2">
        <f>AC356-BY356</f>
        <v>0</v>
      </c>
      <c r="CG356" s="2">
        <f>BX356-BZ356</f>
        <v>0</v>
      </c>
      <c r="CH356" s="2">
        <f>AC356-BX356-BY356+BZ356</f>
        <v>0</v>
      </c>
      <c r="CI356" s="2">
        <f>BY356-BZ356</f>
        <v>0</v>
      </c>
      <c r="CJ356" s="2">
        <f>ROUND(SUMIF(AA353:AA354,"=1471988752",GX353:GX354),2)</f>
        <v>0</v>
      </c>
      <c r="CK356" s="2">
        <f>ROUND(SUMIF(AA353:AA354,"=1471988752",GY353:GY354),2)</f>
        <v>0</v>
      </c>
      <c r="CL356" s="2">
        <f>ROUND(SUMIF(AA353:AA354,"=1471988752",GZ353:GZ354),2)</f>
        <v>0</v>
      </c>
      <c r="CM356" s="2">
        <f>ROUND(SUMIF(AA353:AA354,"=1471988752",HD353:HD354),2)</f>
        <v>0</v>
      </c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3"/>
      <c r="DH356" s="3"/>
      <c r="DI356" s="3"/>
      <c r="DJ356" s="3"/>
      <c r="DK356" s="3"/>
      <c r="DL356" s="3"/>
      <c r="DM356" s="3"/>
      <c r="DN356" s="3"/>
      <c r="DO356" s="3"/>
      <c r="DP356" s="3"/>
      <c r="DQ356" s="3"/>
      <c r="DR356" s="3"/>
      <c r="DS356" s="3"/>
      <c r="DT356" s="3"/>
      <c r="DU356" s="3"/>
      <c r="DV356" s="3"/>
      <c r="DW356" s="3"/>
      <c r="DX356" s="3"/>
      <c r="DY356" s="3"/>
      <c r="DZ356" s="3"/>
      <c r="EA356" s="3"/>
      <c r="EB356" s="3"/>
      <c r="EC356" s="3"/>
      <c r="ED356" s="3"/>
      <c r="EE356" s="3"/>
      <c r="EF356" s="3"/>
      <c r="EG356" s="3"/>
      <c r="EH356" s="3"/>
      <c r="EI356" s="3"/>
      <c r="EJ356" s="3"/>
      <c r="EK356" s="3"/>
      <c r="EL356" s="3"/>
      <c r="EM356" s="3"/>
      <c r="EN356" s="3"/>
      <c r="EO356" s="3"/>
      <c r="EP356" s="3"/>
      <c r="EQ356" s="3"/>
      <c r="ER356" s="3"/>
      <c r="ES356" s="3"/>
      <c r="ET356" s="3"/>
      <c r="EU356" s="3"/>
      <c r="EV356" s="3"/>
      <c r="EW356" s="3"/>
      <c r="EX356" s="3"/>
      <c r="EY356" s="3"/>
      <c r="EZ356" s="3"/>
      <c r="FA356" s="3"/>
      <c r="FB356" s="3"/>
      <c r="FC356" s="3"/>
      <c r="FD356" s="3"/>
      <c r="FE356" s="3"/>
      <c r="FF356" s="3"/>
      <c r="FG356" s="3"/>
      <c r="FH356" s="3"/>
      <c r="FI356" s="3"/>
      <c r="FJ356" s="3"/>
      <c r="FK356" s="3"/>
      <c r="FL356" s="3"/>
      <c r="FM356" s="3"/>
      <c r="FN356" s="3"/>
      <c r="FO356" s="3"/>
      <c r="FP356" s="3"/>
      <c r="FQ356" s="3"/>
      <c r="FR356" s="3"/>
      <c r="FS356" s="3"/>
      <c r="FT356" s="3"/>
      <c r="FU356" s="3"/>
      <c r="FV356" s="3"/>
      <c r="FW356" s="3"/>
      <c r="FX356" s="3"/>
      <c r="FY356" s="3"/>
      <c r="FZ356" s="3"/>
      <c r="GA356" s="3"/>
      <c r="GB356" s="3"/>
      <c r="GC356" s="3"/>
      <c r="GD356" s="3"/>
      <c r="GE356" s="3"/>
      <c r="GF356" s="3"/>
      <c r="GG356" s="3"/>
      <c r="GH356" s="3"/>
      <c r="GI356" s="3"/>
      <c r="GJ356" s="3"/>
      <c r="GK356" s="3"/>
      <c r="GL356" s="3"/>
      <c r="GM356" s="3"/>
      <c r="GN356" s="3"/>
      <c r="GO356" s="3"/>
      <c r="GP356" s="3"/>
      <c r="GQ356" s="3"/>
      <c r="GR356" s="3"/>
      <c r="GS356" s="3"/>
      <c r="GT356" s="3"/>
      <c r="GU356" s="3"/>
      <c r="GV356" s="3"/>
      <c r="GW356" s="3"/>
      <c r="GX356" s="3">
        <v>0</v>
      </c>
    </row>
    <row r="358" spans="1:245" x14ac:dyDescent="0.2">
      <c r="A358" s="4">
        <v>50</v>
      </c>
      <c r="B358" s="4">
        <v>0</v>
      </c>
      <c r="C358" s="4">
        <v>0</v>
      </c>
      <c r="D358" s="4">
        <v>1</v>
      </c>
      <c r="E358" s="4">
        <v>201</v>
      </c>
      <c r="F358" s="4">
        <f>ROUND(Source!O356,O358)</f>
        <v>0</v>
      </c>
      <c r="G358" s="4" t="s">
        <v>45</v>
      </c>
      <c r="H358" s="4" t="s">
        <v>46</v>
      </c>
      <c r="I358" s="4"/>
      <c r="J358" s="4"/>
      <c r="K358" s="4">
        <v>201</v>
      </c>
      <c r="L358" s="4">
        <v>1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45" x14ac:dyDescent="0.2">
      <c r="A359" s="4">
        <v>50</v>
      </c>
      <c r="B359" s="4">
        <v>0</v>
      </c>
      <c r="C359" s="4">
        <v>0</v>
      </c>
      <c r="D359" s="4">
        <v>1</v>
      </c>
      <c r="E359" s="4">
        <v>202</v>
      </c>
      <c r="F359" s="4">
        <f>ROUND(Source!P356,O359)</f>
        <v>0</v>
      </c>
      <c r="G359" s="4" t="s">
        <v>47</v>
      </c>
      <c r="H359" s="4" t="s">
        <v>48</v>
      </c>
      <c r="I359" s="4"/>
      <c r="J359" s="4"/>
      <c r="K359" s="4">
        <v>202</v>
      </c>
      <c r="L359" s="4">
        <v>2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45" x14ac:dyDescent="0.2">
      <c r="A360" s="4">
        <v>50</v>
      </c>
      <c r="B360" s="4">
        <v>0</v>
      </c>
      <c r="C360" s="4">
        <v>0</v>
      </c>
      <c r="D360" s="4">
        <v>1</v>
      </c>
      <c r="E360" s="4">
        <v>222</v>
      </c>
      <c r="F360" s="4">
        <f>ROUND(Source!AO356,O360)</f>
        <v>0</v>
      </c>
      <c r="G360" s="4" t="s">
        <v>49</v>
      </c>
      <c r="H360" s="4" t="s">
        <v>50</v>
      </c>
      <c r="I360" s="4"/>
      <c r="J360" s="4"/>
      <c r="K360" s="4">
        <v>222</v>
      </c>
      <c r="L360" s="4">
        <v>3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45" x14ac:dyDescent="0.2">
      <c r="A361" s="4">
        <v>50</v>
      </c>
      <c r="B361" s="4">
        <v>0</v>
      </c>
      <c r="C361" s="4">
        <v>0</v>
      </c>
      <c r="D361" s="4">
        <v>1</v>
      </c>
      <c r="E361" s="4">
        <v>225</v>
      </c>
      <c r="F361" s="4">
        <f>ROUND(Source!AV356,O361)</f>
        <v>0</v>
      </c>
      <c r="G361" s="4" t="s">
        <v>51</v>
      </c>
      <c r="H361" s="4" t="s">
        <v>52</v>
      </c>
      <c r="I361" s="4"/>
      <c r="J361" s="4"/>
      <c r="K361" s="4">
        <v>225</v>
      </c>
      <c r="L361" s="4">
        <v>4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226</v>
      </c>
      <c r="F362" s="4">
        <f>ROUND(Source!AW356,O362)</f>
        <v>0</v>
      </c>
      <c r="G362" s="4" t="s">
        <v>53</v>
      </c>
      <c r="H362" s="4" t="s">
        <v>54</v>
      </c>
      <c r="I362" s="4"/>
      <c r="J362" s="4"/>
      <c r="K362" s="4">
        <v>226</v>
      </c>
      <c r="L362" s="4">
        <v>5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227</v>
      </c>
      <c r="F363" s="4">
        <f>ROUND(Source!AX356,O363)</f>
        <v>0</v>
      </c>
      <c r="G363" s="4" t="s">
        <v>55</v>
      </c>
      <c r="H363" s="4" t="s">
        <v>56</v>
      </c>
      <c r="I363" s="4"/>
      <c r="J363" s="4"/>
      <c r="K363" s="4">
        <v>227</v>
      </c>
      <c r="L363" s="4">
        <v>6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228</v>
      </c>
      <c r="F364" s="4">
        <f>ROUND(Source!AY356,O364)</f>
        <v>0</v>
      </c>
      <c r="G364" s="4" t="s">
        <v>57</v>
      </c>
      <c r="H364" s="4" t="s">
        <v>58</v>
      </c>
      <c r="I364" s="4"/>
      <c r="J364" s="4"/>
      <c r="K364" s="4">
        <v>228</v>
      </c>
      <c r="L364" s="4">
        <v>7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216</v>
      </c>
      <c r="F365" s="4">
        <f>ROUND(Source!AP356,O365)</f>
        <v>0</v>
      </c>
      <c r="G365" s="4" t="s">
        <v>59</v>
      </c>
      <c r="H365" s="4" t="s">
        <v>60</v>
      </c>
      <c r="I365" s="4"/>
      <c r="J365" s="4"/>
      <c r="K365" s="4">
        <v>216</v>
      </c>
      <c r="L365" s="4">
        <v>8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223</v>
      </c>
      <c r="F366" s="4">
        <f>ROUND(Source!AQ356,O366)</f>
        <v>0</v>
      </c>
      <c r="G366" s="4" t="s">
        <v>61</v>
      </c>
      <c r="H366" s="4" t="s">
        <v>62</v>
      </c>
      <c r="I366" s="4"/>
      <c r="J366" s="4"/>
      <c r="K366" s="4">
        <v>223</v>
      </c>
      <c r="L366" s="4">
        <v>9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229</v>
      </c>
      <c r="F367" s="4">
        <f>ROUND(Source!AZ356,O367)</f>
        <v>0</v>
      </c>
      <c r="G367" s="4" t="s">
        <v>63</v>
      </c>
      <c r="H367" s="4" t="s">
        <v>64</v>
      </c>
      <c r="I367" s="4"/>
      <c r="J367" s="4"/>
      <c r="K367" s="4">
        <v>229</v>
      </c>
      <c r="L367" s="4">
        <v>10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203</v>
      </c>
      <c r="F368" s="4">
        <f>ROUND(Source!Q356,O368)</f>
        <v>0</v>
      </c>
      <c r="G368" s="4" t="s">
        <v>65</v>
      </c>
      <c r="H368" s="4" t="s">
        <v>66</v>
      </c>
      <c r="I368" s="4"/>
      <c r="J368" s="4"/>
      <c r="K368" s="4">
        <v>203</v>
      </c>
      <c r="L368" s="4">
        <v>11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231</v>
      </c>
      <c r="F369" s="4">
        <f>ROUND(Source!BB356,O369)</f>
        <v>0</v>
      </c>
      <c r="G369" s="4" t="s">
        <v>67</v>
      </c>
      <c r="H369" s="4" t="s">
        <v>68</v>
      </c>
      <c r="I369" s="4"/>
      <c r="J369" s="4"/>
      <c r="K369" s="4">
        <v>231</v>
      </c>
      <c r="L369" s="4">
        <v>12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204</v>
      </c>
      <c r="F370" s="4">
        <f>ROUND(Source!R356,O370)</f>
        <v>0</v>
      </c>
      <c r="G370" s="4" t="s">
        <v>69</v>
      </c>
      <c r="H370" s="4" t="s">
        <v>70</v>
      </c>
      <c r="I370" s="4"/>
      <c r="J370" s="4"/>
      <c r="K370" s="4">
        <v>204</v>
      </c>
      <c r="L370" s="4">
        <v>13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205</v>
      </c>
      <c r="F371" s="4">
        <f>ROUND(Source!S356,O371)</f>
        <v>0</v>
      </c>
      <c r="G371" s="4" t="s">
        <v>71</v>
      </c>
      <c r="H371" s="4" t="s">
        <v>72</v>
      </c>
      <c r="I371" s="4"/>
      <c r="J371" s="4"/>
      <c r="K371" s="4">
        <v>205</v>
      </c>
      <c r="L371" s="4">
        <v>14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232</v>
      </c>
      <c r="F372" s="4">
        <f>ROUND(Source!BC356,O372)</f>
        <v>0</v>
      </c>
      <c r="G372" s="4" t="s">
        <v>73</v>
      </c>
      <c r="H372" s="4" t="s">
        <v>74</v>
      </c>
      <c r="I372" s="4"/>
      <c r="J372" s="4"/>
      <c r="K372" s="4">
        <v>232</v>
      </c>
      <c r="L372" s="4">
        <v>15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214</v>
      </c>
      <c r="F373" s="4">
        <f>ROUND(Source!AS356,O373)</f>
        <v>0</v>
      </c>
      <c r="G373" s="4" t="s">
        <v>75</v>
      </c>
      <c r="H373" s="4" t="s">
        <v>76</v>
      </c>
      <c r="I373" s="4"/>
      <c r="J373" s="4"/>
      <c r="K373" s="4">
        <v>214</v>
      </c>
      <c r="L373" s="4">
        <v>16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215</v>
      </c>
      <c r="F374" s="4">
        <f>ROUND(Source!AT356,O374)</f>
        <v>0</v>
      </c>
      <c r="G374" s="4" t="s">
        <v>77</v>
      </c>
      <c r="H374" s="4" t="s">
        <v>78</v>
      </c>
      <c r="I374" s="4"/>
      <c r="J374" s="4"/>
      <c r="K374" s="4">
        <v>215</v>
      </c>
      <c r="L374" s="4">
        <v>17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217</v>
      </c>
      <c r="F375" s="4">
        <f>ROUND(Source!AU356,O375)</f>
        <v>0</v>
      </c>
      <c r="G375" s="4" t="s">
        <v>79</v>
      </c>
      <c r="H375" s="4" t="s">
        <v>80</v>
      </c>
      <c r="I375" s="4"/>
      <c r="J375" s="4"/>
      <c r="K375" s="4">
        <v>217</v>
      </c>
      <c r="L375" s="4">
        <v>18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230</v>
      </c>
      <c r="F376" s="4">
        <f>ROUND(Source!BA356,O376)</f>
        <v>0</v>
      </c>
      <c r="G376" s="4" t="s">
        <v>81</v>
      </c>
      <c r="H376" s="4" t="s">
        <v>82</v>
      </c>
      <c r="I376" s="4"/>
      <c r="J376" s="4"/>
      <c r="K376" s="4">
        <v>230</v>
      </c>
      <c r="L376" s="4">
        <v>19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206</v>
      </c>
      <c r="F377" s="4">
        <f>ROUND(Source!T356,O377)</f>
        <v>0</v>
      </c>
      <c r="G377" s="4" t="s">
        <v>83</v>
      </c>
      <c r="H377" s="4" t="s">
        <v>84</v>
      </c>
      <c r="I377" s="4"/>
      <c r="J377" s="4"/>
      <c r="K377" s="4">
        <v>206</v>
      </c>
      <c r="L377" s="4">
        <v>20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207</v>
      </c>
      <c r="F378" s="4">
        <f>Source!U356</f>
        <v>0</v>
      </c>
      <c r="G378" s="4" t="s">
        <v>85</v>
      </c>
      <c r="H378" s="4" t="s">
        <v>86</v>
      </c>
      <c r="I378" s="4"/>
      <c r="J378" s="4"/>
      <c r="K378" s="4">
        <v>207</v>
      </c>
      <c r="L378" s="4">
        <v>21</v>
      </c>
      <c r="M378" s="4">
        <v>3</v>
      </c>
      <c r="N378" s="4" t="s">
        <v>3</v>
      </c>
      <c r="O378" s="4">
        <v>-1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208</v>
      </c>
      <c r="F379" s="4">
        <f>Source!V356</f>
        <v>0</v>
      </c>
      <c r="G379" s="4" t="s">
        <v>87</v>
      </c>
      <c r="H379" s="4" t="s">
        <v>88</v>
      </c>
      <c r="I379" s="4"/>
      <c r="J379" s="4"/>
      <c r="K379" s="4">
        <v>208</v>
      </c>
      <c r="L379" s="4">
        <v>22</v>
      </c>
      <c r="M379" s="4">
        <v>3</v>
      </c>
      <c r="N379" s="4" t="s">
        <v>3</v>
      </c>
      <c r="O379" s="4">
        <v>-1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209</v>
      </c>
      <c r="F380" s="4">
        <f>ROUND(Source!W356,O380)</f>
        <v>0</v>
      </c>
      <c r="G380" s="4" t="s">
        <v>89</v>
      </c>
      <c r="H380" s="4" t="s">
        <v>90</v>
      </c>
      <c r="I380" s="4"/>
      <c r="J380" s="4"/>
      <c r="K380" s="4">
        <v>209</v>
      </c>
      <c r="L380" s="4">
        <v>23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233</v>
      </c>
      <c r="F381" s="4">
        <f>ROUND(Source!BD356,O381)</f>
        <v>0</v>
      </c>
      <c r="G381" s="4" t="s">
        <v>91</v>
      </c>
      <c r="H381" s="4" t="s">
        <v>92</v>
      </c>
      <c r="I381" s="4"/>
      <c r="J381" s="4"/>
      <c r="K381" s="4">
        <v>233</v>
      </c>
      <c r="L381" s="4">
        <v>24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210</v>
      </c>
      <c r="F382" s="4">
        <f>ROUND(Source!X356,O382)</f>
        <v>0</v>
      </c>
      <c r="G382" s="4" t="s">
        <v>93</v>
      </c>
      <c r="H382" s="4" t="s">
        <v>94</v>
      </c>
      <c r="I382" s="4"/>
      <c r="J382" s="4"/>
      <c r="K382" s="4">
        <v>210</v>
      </c>
      <c r="L382" s="4">
        <v>25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211</v>
      </c>
      <c r="F383" s="4">
        <f>ROUND(Source!Y356,O383)</f>
        <v>0</v>
      </c>
      <c r="G383" s="4" t="s">
        <v>95</v>
      </c>
      <c r="H383" s="4" t="s">
        <v>96</v>
      </c>
      <c r="I383" s="4"/>
      <c r="J383" s="4"/>
      <c r="K383" s="4">
        <v>211</v>
      </c>
      <c r="L383" s="4">
        <v>26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224</v>
      </c>
      <c r="F384" s="4">
        <f>ROUND(Source!AR356,O384)</f>
        <v>0</v>
      </c>
      <c r="G384" s="4" t="s">
        <v>97</v>
      </c>
      <c r="H384" s="4" t="s">
        <v>98</v>
      </c>
      <c r="I384" s="4"/>
      <c r="J384" s="4"/>
      <c r="K384" s="4">
        <v>224</v>
      </c>
      <c r="L384" s="4">
        <v>27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6" spans="1:245" x14ac:dyDescent="0.2">
      <c r="A386" s="1">
        <v>5</v>
      </c>
      <c r="B386" s="1">
        <v>1</v>
      </c>
      <c r="C386" s="1"/>
      <c r="D386" s="1">
        <f>ROW(A397)</f>
        <v>397</v>
      </c>
      <c r="E386" s="1"/>
      <c r="F386" s="1" t="s">
        <v>100</v>
      </c>
      <c r="G386" s="1" t="s">
        <v>388</v>
      </c>
      <c r="H386" s="1" t="s">
        <v>3</v>
      </c>
      <c r="I386" s="1">
        <v>0</v>
      </c>
      <c r="J386" s="1"/>
      <c r="K386" s="1">
        <v>-1</v>
      </c>
      <c r="L386" s="1"/>
      <c r="M386" s="1" t="s">
        <v>3</v>
      </c>
      <c r="N386" s="1"/>
      <c r="O386" s="1"/>
      <c r="P386" s="1"/>
      <c r="Q386" s="1"/>
      <c r="R386" s="1"/>
      <c r="S386" s="1">
        <v>0</v>
      </c>
      <c r="T386" s="1"/>
      <c r="U386" s="1" t="s">
        <v>3</v>
      </c>
      <c r="V386" s="1">
        <v>0</v>
      </c>
      <c r="W386" s="1"/>
      <c r="X386" s="1"/>
      <c r="Y386" s="1"/>
      <c r="Z386" s="1"/>
      <c r="AA386" s="1"/>
      <c r="AB386" s="1" t="s">
        <v>3</v>
      </c>
      <c r="AC386" s="1" t="s">
        <v>3</v>
      </c>
      <c r="AD386" s="1" t="s">
        <v>3</v>
      </c>
      <c r="AE386" s="1" t="s">
        <v>3</v>
      </c>
      <c r="AF386" s="1" t="s">
        <v>3</v>
      </c>
      <c r="AG386" s="1" t="s">
        <v>3</v>
      </c>
      <c r="AH386" s="1"/>
      <c r="AI386" s="1"/>
      <c r="AJ386" s="1"/>
      <c r="AK386" s="1"/>
      <c r="AL386" s="1"/>
      <c r="AM386" s="1"/>
      <c r="AN386" s="1"/>
      <c r="AO386" s="1"/>
      <c r="AP386" s="1" t="s">
        <v>3</v>
      </c>
      <c r="AQ386" s="1" t="s">
        <v>3</v>
      </c>
      <c r="AR386" s="1" t="s">
        <v>3</v>
      </c>
      <c r="AS386" s="1"/>
      <c r="AT386" s="1"/>
      <c r="AU386" s="1"/>
      <c r="AV386" s="1"/>
      <c r="AW386" s="1"/>
      <c r="AX386" s="1"/>
      <c r="AY386" s="1"/>
      <c r="AZ386" s="1" t="s">
        <v>3</v>
      </c>
      <c r="BA386" s="1"/>
      <c r="BB386" s="1" t="s">
        <v>3</v>
      </c>
      <c r="BC386" s="1" t="s">
        <v>3</v>
      </c>
      <c r="BD386" s="1" t="s">
        <v>3</v>
      </c>
      <c r="BE386" s="1" t="s">
        <v>3</v>
      </c>
      <c r="BF386" s="1" t="s">
        <v>3</v>
      </c>
      <c r="BG386" s="1" t="s">
        <v>3</v>
      </c>
      <c r="BH386" s="1" t="s">
        <v>3</v>
      </c>
      <c r="BI386" s="1" t="s">
        <v>3</v>
      </c>
      <c r="BJ386" s="1" t="s">
        <v>3</v>
      </c>
      <c r="BK386" s="1" t="s">
        <v>3</v>
      </c>
      <c r="BL386" s="1" t="s">
        <v>3</v>
      </c>
      <c r="BM386" s="1" t="s">
        <v>3</v>
      </c>
      <c r="BN386" s="1" t="s">
        <v>3</v>
      </c>
      <c r="BO386" s="1" t="s">
        <v>3</v>
      </c>
      <c r="BP386" s="1" t="s">
        <v>3</v>
      </c>
      <c r="BQ386" s="1"/>
      <c r="BR386" s="1"/>
      <c r="BS386" s="1"/>
      <c r="BT386" s="1"/>
      <c r="BU386" s="1"/>
      <c r="BV386" s="1"/>
      <c r="BW386" s="1"/>
      <c r="BX386" s="1">
        <v>0</v>
      </c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>
        <v>0</v>
      </c>
    </row>
    <row r="388" spans="1:245" x14ac:dyDescent="0.2">
      <c r="A388" s="2">
        <v>52</v>
      </c>
      <c r="B388" s="2">
        <f t="shared" ref="B388:G388" si="334">B397</f>
        <v>1</v>
      </c>
      <c r="C388" s="2">
        <f t="shared" si="334"/>
        <v>5</v>
      </c>
      <c r="D388" s="2">
        <f t="shared" si="334"/>
        <v>386</v>
      </c>
      <c r="E388" s="2">
        <f t="shared" si="334"/>
        <v>0</v>
      </c>
      <c r="F388" s="2" t="str">
        <f t="shared" si="334"/>
        <v>Новый подраздел</v>
      </c>
      <c r="G388" s="2" t="str">
        <f t="shared" si="334"/>
        <v>4.3  Осветительное оборудование</v>
      </c>
      <c r="H388" s="2"/>
      <c r="I388" s="2"/>
      <c r="J388" s="2"/>
      <c r="K388" s="2"/>
      <c r="L388" s="2"/>
      <c r="M388" s="2"/>
      <c r="N388" s="2"/>
      <c r="O388" s="2">
        <f t="shared" ref="O388:AT388" si="335">O397</f>
        <v>96829.55</v>
      </c>
      <c r="P388" s="2">
        <f t="shared" si="335"/>
        <v>449.18</v>
      </c>
      <c r="Q388" s="2">
        <f t="shared" si="335"/>
        <v>0</v>
      </c>
      <c r="R388" s="2">
        <f t="shared" si="335"/>
        <v>0</v>
      </c>
      <c r="S388" s="2">
        <f t="shared" si="335"/>
        <v>96380.37</v>
      </c>
      <c r="T388" s="2">
        <f t="shared" si="335"/>
        <v>0</v>
      </c>
      <c r="U388" s="2">
        <f t="shared" si="335"/>
        <v>171.22399999999999</v>
      </c>
      <c r="V388" s="2">
        <f t="shared" si="335"/>
        <v>0</v>
      </c>
      <c r="W388" s="2">
        <f t="shared" si="335"/>
        <v>0</v>
      </c>
      <c r="X388" s="2">
        <f t="shared" si="335"/>
        <v>67466.259999999995</v>
      </c>
      <c r="Y388" s="2">
        <f t="shared" si="335"/>
        <v>9638.0400000000009</v>
      </c>
      <c r="Z388" s="2">
        <f t="shared" si="335"/>
        <v>0</v>
      </c>
      <c r="AA388" s="2">
        <f t="shared" si="335"/>
        <v>0</v>
      </c>
      <c r="AB388" s="2">
        <f t="shared" si="335"/>
        <v>96829.55</v>
      </c>
      <c r="AC388" s="2">
        <f t="shared" si="335"/>
        <v>449.18</v>
      </c>
      <c r="AD388" s="2">
        <f t="shared" si="335"/>
        <v>0</v>
      </c>
      <c r="AE388" s="2">
        <f t="shared" si="335"/>
        <v>0</v>
      </c>
      <c r="AF388" s="2">
        <f t="shared" si="335"/>
        <v>96380.37</v>
      </c>
      <c r="AG388" s="2">
        <f t="shared" si="335"/>
        <v>0</v>
      </c>
      <c r="AH388" s="2">
        <f t="shared" si="335"/>
        <v>171.22399999999999</v>
      </c>
      <c r="AI388" s="2">
        <f t="shared" si="335"/>
        <v>0</v>
      </c>
      <c r="AJ388" s="2">
        <f t="shared" si="335"/>
        <v>0</v>
      </c>
      <c r="AK388" s="2">
        <f t="shared" si="335"/>
        <v>67466.259999999995</v>
      </c>
      <c r="AL388" s="2">
        <f t="shared" si="335"/>
        <v>9638.0400000000009</v>
      </c>
      <c r="AM388" s="2">
        <f t="shared" si="335"/>
        <v>0</v>
      </c>
      <c r="AN388" s="2">
        <f t="shared" si="335"/>
        <v>0</v>
      </c>
      <c r="AO388" s="2">
        <f t="shared" si="335"/>
        <v>0</v>
      </c>
      <c r="AP388" s="2">
        <f t="shared" si="335"/>
        <v>0</v>
      </c>
      <c r="AQ388" s="2">
        <f t="shared" si="335"/>
        <v>0</v>
      </c>
      <c r="AR388" s="2">
        <f t="shared" si="335"/>
        <v>173933.85</v>
      </c>
      <c r="AS388" s="2">
        <f t="shared" si="335"/>
        <v>0</v>
      </c>
      <c r="AT388" s="2">
        <f t="shared" si="335"/>
        <v>0</v>
      </c>
      <c r="AU388" s="2">
        <f t="shared" ref="AU388:BZ388" si="336">AU397</f>
        <v>173933.85</v>
      </c>
      <c r="AV388" s="2">
        <f t="shared" si="336"/>
        <v>449.18</v>
      </c>
      <c r="AW388" s="2">
        <f t="shared" si="336"/>
        <v>449.18</v>
      </c>
      <c r="AX388" s="2">
        <f t="shared" si="336"/>
        <v>0</v>
      </c>
      <c r="AY388" s="2">
        <f t="shared" si="336"/>
        <v>449.18</v>
      </c>
      <c r="AZ388" s="2">
        <f t="shared" si="336"/>
        <v>0</v>
      </c>
      <c r="BA388" s="2">
        <f t="shared" si="336"/>
        <v>0</v>
      </c>
      <c r="BB388" s="2">
        <f t="shared" si="336"/>
        <v>0</v>
      </c>
      <c r="BC388" s="2">
        <f t="shared" si="336"/>
        <v>0</v>
      </c>
      <c r="BD388" s="2">
        <f t="shared" si="336"/>
        <v>0</v>
      </c>
      <c r="BE388" s="2">
        <f t="shared" si="336"/>
        <v>0</v>
      </c>
      <c r="BF388" s="2">
        <f t="shared" si="336"/>
        <v>0</v>
      </c>
      <c r="BG388" s="2">
        <f t="shared" si="336"/>
        <v>0</v>
      </c>
      <c r="BH388" s="2">
        <f t="shared" si="336"/>
        <v>0</v>
      </c>
      <c r="BI388" s="2">
        <f t="shared" si="336"/>
        <v>0</v>
      </c>
      <c r="BJ388" s="2">
        <f t="shared" si="336"/>
        <v>0</v>
      </c>
      <c r="BK388" s="2">
        <f t="shared" si="336"/>
        <v>0</v>
      </c>
      <c r="BL388" s="2">
        <f t="shared" si="336"/>
        <v>0</v>
      </c>
      <c r="BM388" s="2">
        <f t="shared" si="336"/>
        <v>0</v>
      </c>
      <c r="BN388" s="2">
        <f t="shared" si="336"/>
        <v>0</v>
      </c>
      <c r="BO388" s="2">
        <f t="shared" si="336"/>
        <v>0</v>
      </c>
      <c r="BP388" s="2">
        <f t="shared" si="336"/>
        <v>0</v>
      </c>
      <c r="BQ388" s="2">
        <f t="shared" si="336"/>
        <v>0</v>
      </c>
      <c r="BR388" s="2">
        <f t="shared" si="336"/>
        <v>0</v>
      </c>
      <c r="BS388" s="2">
        <f t="shared" si="336"/>
        <v>0</v>
      </c>
      <c r="BT388" s="2">
        <f t="shared" si="336"/>
        <v>0</v>
      </c>
      <c r="BU388" s="2">
        <f t="shared" si="336"/>
        <v>0</v>
      </c>
      <c r="BV388" s="2">
        <f t="shared" si="336"/>
        <v>0</v>
      </c>
      <c r="BW388" s="2">
        <f t="shared" si="336"/>
        <v>0</v>
      </c>
      <c r="BX388" s="2">
        <f t="shared" si="336"/>
        <v>0</v>
      </c>
      <c r="BY388" s="2">
        <f t="shared" si="336"/>
        <v>0</v>
      </c>
      <c r="BZ388" s="2">
        <f t="shared" si="336"/>
        <v>0</v>
      </c>
      <c r="CA388" s="2">
        <f t="shared" ref="CA388:DF388" si="337">CA397</f>
        <v>173933.85</v>
      </c>
      <c r="CB388" s="2">
        <f t="shared" si="337"/>
        <v>0</v>
      </c>
      <c r="CC388" s="2">
        <f t="shared" si="337"/>
        <v>0</v>
      </c>
      <c r="CD388" s="2">
        <f t="shared" si="337"/>
        <v>173933.85</v>
      </c>
      <c r="CE388" s="2">
        <f t="shared" si="337"/>
        <v>449.18</v>
      </c>
      <c r="CF388" s="2">
        <f t="shared" si="337"/>
        <v>449.18</v>
      </c>
      <c r="CG388" s="2">
        <f t="shared" si="337"/>
        <v>0</v>
      </c>
      <c r="CH388" s="2">
        <f t="shared" si="337"/>
        <v>449.18</v>
      </c>
      <c r="CI388" s="2">
        <f t="shared" si="337"/>
        <v>0</v>
      </c>
      <c r="CJ388" s="2">
        <f t="shared" si="337"/>
        <v>0</v>
      </c>
      <c r="CK388" s="2">
        <f t="shared" si="337"/>
        <v>0</v>
      </c>
      <c r="CL388" s="2">
        <f t="shared" si="337"/>
        <v>0</v>
      </c>
      <c r="CM388" s="2">
        <f t="shared" si="337"/>
        <v>0</v>
      </c>
      <c r="CN388" s="2">
        <f t="shared" si="337"/>
        <v>0</v>
      </c>
      <c r="CO388" s="2">
        <f t="shared" si="337"/>
        <v>0</v>
      </c>
      <c r="CP388" s="2">
        <f t="shared" si="337"/>
        <v>0</v>
      </c>
      <c r="CQ388" s="2">
        <f t="shared" si="337"/>
        <v>0</v>
      </c>
      <c r="CR388" s="2">
        <f t="shared" si="337"/>
        <v>0</v>
      </c>
      <c r="CS388" s="2">
        <f t="shared" si="337"/>
        <v>0</v>
      </c>
      <c r="CT388" s="2">
        <f t="shared" si="337"/>
        <v>0</v>
      </c>
      <c r="CU388" s="2">
        <f t="shared" si="337"/>
        <v>0</v>
      </c>
      <c r="CV388" s="2">
        <f t="shared" si="337"/>
        <v>0</v>
      </c>
      <c r="CW388" s="2">
        <f t="shared" si="337"/>
        <v>0</v>
      </c>
      <c r="CX388" s="2">
        <f t="shared" si="337"/>
        <v>0</v>
      </c>
      <c r="CY388" s="2">
        <f t="shared" si="337"/>
        <v>0</v>
      </c>
      <c r="CZ388" s="2">
        <f t="shared" si="337"/>
        <v>0</v>
      </c>
      <c r="DA388" s="2">
        <f t="shared" si="337"/>
        <v>0</v>
      </c>
      <c r="DB388" s="2">
        <f t="shared" si="337"/>
        <v>0</v>
      </c>
      <c r="DC388" s="2">
        <f t="shared" si="337"/>
        <v>0</v>
      </c>
      <c r="DD388" s="2">
        <f t="shared" si="337"/>
        <v>0</v>
      </c>
      <c r="DE388" s="2">
        <f t="shared" si="337"/>
        <v>0</v>
      </c>
      <c r="DF388" s="2">
        <f t="shared" si="337"/>
        <v>0</v>
      </c>
      <c r="DG388" s="3">
        <f t="shared" ref="DG388:EL388" si="338">DG397</f>
        <v>0</v>
      </c>
      <c r="DH388" s="3">
        <f t="shared" si="338"/>
        <v>0</v>
      </c>
      <c r="DI388" s="3">
        <f t="shared" si="338"/>
        <v>0</v>
      </c>
      <c r="DJ388" s="3">
        <f t="shared" si="338"/>
        <v>0</v>
      </c>
      <c r="DK388" s="3">
        <f t="shared" si="338"/>
        <v>0</v>
      </c>
      <c r="DL388" s="3">
        <f t="shared" si="338"/>
        <v>0</v>
      </c>
      <c r="DM388" s="3">
        <f t="shared" si="338"/>
        <v>0</v>
      </c>
      <c r="DN388" s="3">
        <f t="shared" si="338"/>
        <v>0</v>
      </c>
      <c r="DO388" s="3">
        <f t="shared" si="338"/>
        <v>0</v>
      </c>
      <c r="DP388" s="3">
        <f t="shared" si="338"/>
        <v>0</v>
      </c>
      <c r="DQ388" s="3">
        <f t="shared" si="338"/>
        <v>0</v>
      </c>
      <c r="DR388" s="3">
        <f t="shared" si="338"/>
        <v>0</v>
      </c>
      <c r="DS388" s="3">
        <f t="shared" si="338"/>
        <v>0</v>
      </c>
      <c r="DT388" s="3">
        <f t="shared" si="338"/>
        <v>0</v>
      </c>
      <c r="DU388" s="3">
        <f t="shared" si="338"/>
        <v>0</v>
      </c>
      <c r="DV388" s="3">
        <f t="shared" si="338"/>
        <v>0</v>
      </c>
      <c r="DW388" s="3">
        <f t="shared" si="338"/>
        <v>0</v>
      </c>
      <c r="DX388" s="3">
        <f t="shared" si="338"/>
        <v>0</v>
      </c>
      <c r="DY388" s="3">
        <f t="shared" si="338"/>
        <v>0</v>
      </c>
      <c r="DZ388" s="3">
        <f t="shared" si="338"/>
        <v>0</v>
      </c>
      <c r="EA388" s="3">
        <f t="shared" si="338"/>
        <v>0</v>
      </c>
      <c r="EB388" s="3">
        <f t="shared" si="338"/>
        <v>0</v>
      </c>
      <c r="EC388" s="3">
        <f t="shared" si="338"/>
        <v>0</v>
      </c>
      <c r="ED388" s="3">
        <f t="shared" si="338"/>
        <v>0</v>
      </c>
      <c r="EE388" s="3">
        <f t="shared" si="338"/>
        <v>0</v>
      </c>
      <c r="EF388" s="3">
        <f t="shared" si="338"/>
        <v>0</v>
      </c>
      <c r="EG388" s="3">
        <f t="shared" si="338"/>
        <v>0</v>
      </c>
      <c r="EH388" s="3">
        <f t="shared" si="338"/>
        <v>0</v>
      </c>
      <c r="EI388" s="3">
        <f t="shared" si="338"/>
        <v>0</v>
      </c>
      <c r="EJ388" s="3">
        <f t="shared" si="338"/>
        <v>0</v>
      </c>
      <c r="EK388" s="3">
        <f t="shared" si="338"/>
        <v>0</v>
      </c>
      <c r="EL388" s="3">
        <f t="shared" si="338"/>
        <v>0</v>
      </c>
      <c r="EM388" s="3">
        <f t="shared" ref="EM388:FR388" si="339">EM397</f>
        <v>0</v>
      </c>
      <c r="EN388" s="3">
        <f t="shared" si="339"/>
        <v>0</v>
      </c>
      <c r="EO388" s="3">
        <f t="shared" si="339"/>
        <v>0</v>
      </c>
      <c r="EP388" s="3">
        <f t="shared" si="339"/>
        <v>0</v>
      </c>
      <c r="EQ388" s="3">
        <f t="shared" si="339"/>
        <v>0</v>
      </c>
      <c r="ER388" s="3">
        <f t="shared" si="339"/>
        <v>0</v>
      </c>
      <c r="ES388" s="3">
        <f t="shared" si="339"/>
        <v>0</v>
      </c>
      <c r="ET388" s="3">
        <f t="shared" si="339"/>
        <v>0</v>
      </c>
      <c r="EU388" s="3">
        <f t="shared" si="339"/>
        <v>0</v>
      </c>
      <c r="EV388" s="3">
        <f t="shared" si="339"/>
        <v>0</v>
      </c>
      <c r="EW388" s="3">
        <f t="shared" si="339"/>
        <v>0</v>
      </c>
      <c r="EX388" s="3">
        <f t="shared" si="339"/>
        <v>0</v>
      </c>
      <c r="EY388" s="3">
        <f t="shared" si="339"/>
        <v>0</v>
      </c>
      <c r="EZ388" s="3">
        <f t="shared" si="339"/>
        <v>0</v>
      </c>
      <c r="FA388" s="3">
        <f t="shared" si="339"/>
        <v>0</v>
      </c>
      <c r="FB388" s="3">
        <f t="shared" si="339"/>
        <v>0</v>
      </c>
      <c r="FC388" s="3">
        <f t="shared" si="339"/>
        <v>0</v>
      </c>
      <c r="FD388" s="3">
        <f t="shared" si="339"/>
        <v>0</v>
      </c>
      <c r="FE388" s="3">
        <f t="shared" si="339"/>
        <v>0</v>
      </c>
      <c r="FF388" s="3">
        <f t="shared" si="339"/>
        <v>0</v>
      </c>
      <c r="FG388" s="3">
        <f t="shared" si="339"/>
        <v>0</v>
      </c>
      <c r="FH388" s="3">
        <f t="shared" si="339"/>
        <v>0</v>
      </c>
      <c r="FI388" s="3">
        <f t="shared" si="339"/>
        <v>0</v>
      </c>
      <c r="FJ388" s="3">
        <f t="shared" si="339"/>
        <v>0</v>
      </c>
      <c r="FK388" s="3">
        <f t="shared" si="339"/>
        <v>0</v>
      </c>
      <c r="FL388" s="3">
        <f t="shared" si="339"/>
        <v>0</v>
      </c>
      <c r="FM388" s="3">
        <f t="shared" si="339"/>
        <v>0</v>
      </c>
      <c r="FN388" s="3">
        <f t="shared" si="339"/>
        <v>0</v>
      </c>
      <c r="FO388" s="3">
        <f t="shared" si="339"/>
        <v>0</v>
      </c>
      <c r="FP388" s="3">
        <f t="shared" si="339"/>
        <v>0</v>
      </c>
      <c r="FQ388" s="3">
        <f t="shared" si="339"/>
        <v>0</v>
      </c>
      <c r="FR388" s="3">
        <f t="shared" si="339"/>
        <v>0</v>
      </c>
      <c r="FS388" s="3">
        <f t="shared" ref="FS388:GX388" si="340">FS397</f>
        <v>0</v>
      </c>
      <c r="FT388" s="3">
        <f t="shared" si="340"/>
        <v>0</v>
      </c>
      <c r="FU388" s="3">
        <f t="shared" si="340"/>
        <v>0</v>
      </c>
      <c r="FV388" s="3">
        <f t="shared" si="340"/>
        <v>0</v>
      </c>
      <c r="FW388" s="3">
        <f t="shared" si="340"/>
        <v>0</v>
      </c>
      <c r="FX388" s="3">
        <f t="shared" si="340"/>
        <v>0</v>
      </c>
      <c r="FY388" s="3">
        <f t="shared" si="340"/>
        <v>0</v>
      </c>
      <c r="FZ388" s="3">
        <f t="shared" si="340"/>
        <v>0</v>
      </c>
      <c r="GA388" s="3">
        <f t="shared" si="340"/>
        <v>0</v>
      </c>
      <c r="GB388" s="3">
        <f t="shared" si="340"/>
        <v>0</v>
      </c>
      <c r="GC388" s="3">
        <f t="shared" si="340"/>
        <v>0</v>
      </c>
      <c r="GD388" s="3">
        <f t="shared" si="340"/>
        <v>0</v>
      </c>
      <c r="GE388" s="3">
        <f t="shared" si="340"/>
        <v>0</v>
      </c>
      <c r="GF388" s="3">
        <f t="shared" si="340"/>
        <v>0</v>
      </c>
      <c r="GG388" s="3">
        <f t="shared" si="340"/>
        <v>0</v>
      </c>
      <c r="GH388" s="3">
        <f t="shared" si="340"/>
        <v>0</v>
      </c>
      <c r="GI388" s="3">
        <f t="shared" si="340"/>
        <v>0</v>
      </c>
      <c r="GJ388" s="3">
        <f t="shared" si="340"/>
        <v>0</v>
      </c>
      <c r="GK388" s="3">
        <f t="shared" si="340"/>
        <v>0</v>
      </c>
      <c r="GL388" s="3">
        <f t="shared" si="340"/>
        <v>0</v>
      </c>
      <c r="GM388" s="3">
        <f t="shared" si="340"/>
        <v>0</v>
      </c>
      <c r="GN388" s="3">
        <f t="shared" si="340"/>
        <v>0</v>
      </c>
      <c r="GO388" s="3">
        <f t="shared" si="340"/>
        <v>0</v>
      </c>
      <c r="GP388" s="3">
        <f t="shared" si="340"/>
        <v>0</v>
      </c>
      <c r="GQ388" s="3">
        <f t="shared" si="340"/>
        <v>0</v>
      </c>
      <c r="GR388" s="3">
        <f t="shared" si="340"/>
        <v>0</v>
      </c>
      <c r="GS388" s="3">
        <f t="shared" si="340"/>
        <v>0</v>
      </c>
      <c r="GT388" s="3">
        <f t="shared" si="340"/>
        <v>0</v>
      </c>
      <c r="GU388" s="3">
        <f t="shared" si="340"/>
        <v>0</v>
      </c>
      <c r="GV388" s="3">
        <f t="shared" si="340"/>
        <v>0</v>
      </c>
      <c r="GW388" s="3">
        <f t="shared" si="340"/>
        <v>0</v>
      </c>
      <c r="GX388" s="3">
        <f t="shared" si="340"/>
        <v>0</v>
      </c>
    </row>
    <row r="390" spans="1:245" x14ac:dyDescent="0.2">
      <c r="A390">
        <v>17</v>
      </c>
      <c r="B390">
        <v>1</v>
      </c>
      <c r="D390">
        <f>ROW(EtalonRes!A299)</f>
        <v>299</v>
      </c>
      <c r="E390" t="s">
        <v>389</v>
      </c>
      <c r="F390" t="s">
        <v>390</v>
      </c>
      <c r="G390" t="s">
        <v>699</v>
      </c>
      <c r="H390" t="s">
        <v>31</v>
      </c>
      <c r="I390">
        <f>ROUND(ROUND(378+54,9),9)</f>
        <v>432</v>
      </c>
      <c r="J390">
        <v>0</v>
      </c>
      <c r="K390">
        <f>ROUND(ROUND(378+54,9),9)</f>
        <v>432</v>
      </c>
      <c r="O390">
        <f t="shared" ref="O390:O395" si="341">ROUND(CP390,2)</f>
        <v>76043.23</v>
      </c>
      <c r="P390">
        <f t="shared" ref="P390:P395" si="342">ROUND(CQ390*I390,2)</f>
        <v>272.16000000000003</v>
      </c>
      <c r="Q390">
        <f t="shared" ref="Q390:Q395" si="343">ROUND(CR390*I390,2)</f>
        <v>0</v>
      </c>
      <c r="R390">
        <f t="shared" ref="R390:R395" si="344">ROUND(CS390*I390,2)</f>
        <v>0</v>
      </c>
      <c r="S390">
        <f t="shared" ref="S390:S395" si="345">ROUND(CT390*I390,2)</f>
        <v>75771.070000000007</v>
      </c>
      <c r="T390">
        <f t="shared" ref="T390:T395" si="346">ROUND(CU390*I390,2)</f>
        <v>0</v>
      </c>
      <c r="U390">
        <f t="shared" ref="U390:U395" si="347">CV390*I390</f>
        <v>134.78399999999999</v>
      </c>
      <c r="V390">
        <f t="shared" ref="V390:V395" si="348">CW390*I390</f>
        <v>0</v>
      </c>
      <c r="W390">
        <f t="shared" ref="W390:W395" si="349">ROUND(CX390*I390,2)</f>
        <v>0</v>
      </c>
      <c r="X390">
        <f t="shared" ref="X390:Y395" si="350">ROUND(CY390,2)</f>
        <v>53039.75</v>
      </c>
      <c r="Y390">
        <f t="shared" si="350"/>
        <v>7577.11</v>
      </c>
      <c r="AA390">
        <v>1471988752</v>
      </c>
      <c r="AB390">
        <f t="shared" ref="AB390:AB395" si="351">ROUND((AC390+AD390+AF390),6)</f>
        <v>176.02600000000001</v>
      </c>
      <c r="AC390">
        <f>ROUND((ES390),6)</f>
        <v>0.63</v>
      </c>
      <c r="AD390">
        <f>ROUND((((ET390)-(EU390))+AE390),6)</f>
        <v>0</v>
      </c>
      <c r="AE390">
        <f>ROUND((EU390),6)</f>
        <v>0</v>
      </c>
      <c r="AF390">
        <f>ROUND(((EV390*1.04)),6)</f>
        <v>175.39599999999999</v>
      </c>
      <c r="AG390">
        <f t="shared" ref="AG390:AG395" si="352">ROUND((AP390),6)</f>
        <v>0</v>
      </c>
      <c r="AH390">
        <f>((EW390*1.04))</f>
        <v>0.312</v>
      </c>
      <c r="AI390">
        <f>(EX390)</f>
        <v>0</v>
      </c>
      <c r="AJ390">
        <f t="shared" ref="AJ390:AJ395" si="353">(AS390)</f>
        <v>0</v>
      </c>
      <c r="AK390">
        <v>169.28</v>
      </c>
      <c r="AL390">
        <v>0.63</v>
      </c>
      <c r="AM390">
        <v>0</v>
      </c>
      <c r="AN390">
        <v>0</v>
      </c>
      <c r="AO390">
        <v>168.65</v>
      </c>
      <c r="AP390">
        <v>0</v>
      </c>
      <c r="AQ390">
        <v>0.3</v>
      </c>
      <c r="AR390">
        <v>0</v>
      </c>
      <c r="AS390">
        <v>0</v>
      </c>
      <c r="AT390">
        <v>70</v>
      </c>
      <c r="AU390">
        <v>10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</v>
      </c>
      <c r="BD390" t="s">
        <v>3</v>
      </c>
      <c r="BE390" t="s">
        <v>3</v>
      </c>
      <c r="BF390" t="s">
        <v>3</v>
      </c>
      <c r="BG390" t="s">
        <v>3</v>
      </c>
      <c r="BH390">
        <v>0</v>
      </c>
      <c r="BI390">
        <v>4</v>
      </c>
      <c r="BJ390" t="s">
        <v>391</v>
      </c>
      <c r="BM390">
        <v>0</v>
      </c>
      <c r="BN390">
        <v>0</v>
      </c>
      <c r="BO390" t="s">
        <v>3</v>
      </c>
      <c r="BP390">
        <v>0</v>
      </c>
      <c r="BQ390">
        <v>1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70</v>
      </c>
      <c r="CA390">
        <v>10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392</v>
      </c>
      <c r="CO390">
        <v>0</v>
      </c>
      <c r="CP390">
        <f t="shared" ref="CP390:CP395" si="354">(P390+Q390+S390)</f>
        <v>76043.23000000001</v>
      </c>
      <c r="CQ390">
        <f t="shared" ref="CQ390:CQ395" si="355">(AC390*BC390*AW390)</f>
        <v>0.63</v>
      </c>
      <c r="CR390">
        <f>((((ET390)*BB390-(EU390)*BS390)+AE390*BS390)*AV390)</f>
        <v>0</v>
      </c>
      <c r="CS390">
        <f t="shared" ref="CS390:CS395" si="356">(AE390*BS390*AV390)</f>
        <v>0</v>
      </c>
      <c r="CT390">
        <f t="shared" ref="CT390:CT395" si="357">(AF390*BA390*AV390)</f>
        <v>175.39599999999999</v>
      </c>
      <c r="CU390">
        <f t="shared" ref="CU390:CU395" si="358">AG390</f>
        <v>0</v>
      </c>
      <c r="CV390">
        <f t="shared" ref="CV390:CV395" si="359">(AH390*AV390)</f>
        <v>0.312</v>
      </c>
      <c r="CW390">
        <f t="shared" ref="CW390:CX395" si="360">AI390</f>
        <v>0</v>
      </c>
      <c r="CX390">
        <f t="shared" si="360"/>
        <v>0</v>
      </c>
      <c r="CY390">
        <f t="shared" ref="CY390:CY395" si="361">((S390*BZ390)/100)</f>
        <v>53039.749000000003</v>
      </c>
      <c r="CZ390">
        <f t="shared" ref="CZ390:CZ395" si="362">((S390*CA390)/100)</f>
        <v>7577.1070000000009</v>
      </c>
      <c r="DC390" t="s">
        <v>3</v>
      </c>
      <c r="DD390" t="s">
        <v>3</v>
      </c>
      <c r="DE390" t="s">
        <v>3</v>
      </c>
      <c r="DF390" t="s">
        <v>3</v>
      </c>
      <c r="DG390" t="s">
        <v>393</v>
      </c>
      <c r="DH390" t="s">
        <v>3</v>
      </c>
      <c r="DI390" t="s">
        <v>393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16987630</v>
      </c>
      <c r="DV390" t="s">
        <v>31</v>
      </c>
      <c r="DW390" t="s">
        <v>31</v>
      </c>
      <c r="DX390">
        <v>1</v>
      </c>
      <c r="DZ390" t="s">
        <v>3</v>
      </c>
      <c r="EA390" t="s">
        <v>3</v>
      </c>
      <c r="EB390" t="s">
        <v>3</v>
      </c>
      <c r="EC390" t="s">
        <v>3</v>
      </c>
      <c r="EE390">
        <v>1441815344</v>
      </c>
      <c r="EF390">
        <v>1</v>
      </c>
      <c r="EG390" t="s">
        <v>19</v>
      </c>
      <c r="EH390">
        <v>0</v>
      </c>
      <c r="EI390" t="s">
        <v>3</v>
      </c>
      <c r="EJ390">
        <v>4</v>
      </c>
      <c r="EK390">
        <v>0</v>
      </c>
      <c r="EL390" t="s">
        <v>20</v>
      </c>
      <c r="EM390" t="s">
        <v>21</v>
      </c>
      <c r="EO390" t="s">
        <v>394</v>
      </c>
      <c r="EQ390">
        <v>768</v>
      </c>
      <c r="ER390">
        <v>169.28</v>
      </c>
      <c r="ES390">
        <v>0.63</v>
      </c>
      <c r="ET390">
        <v>0</v>
      </c>
      <c r="EU390">
        <v>0</v>
      </c>
      <c r="EV390">
        <v>168.65</v>
      </c>
      <c r="EW390">
        <v>0.3</v>
      </c>
      <c r="EX390">
        <v>0</v>
      </c>
      <c r="EY390">
        <v>0</v>
      </c>
      <c r="FQ390">
        <v>0</v>
      </c>
      <c r="FR390">
        <f t="shared" ref="FR390:FR395" si="363">ROUND(IF(BI390=3,GM390,0),2)</f>
        <v>0</v>
      </c>
      <c r="FS390">
        <v>0</v>
      </c>
      <c r="FX390">
        <v>70</v>
      </c>
      <c r="FY390">
        <v>10</v>
      </c>
      <c r="GA390" t="s">
        <v>3</v>
      </c>
      <c r="GD390">
        <v>0</v>
      </c>
      <c r="GF390">
        <v>513635738</v>
      </c>
      <c r="GG390">
        <v>2</v>
      </c>
      <c r="GH390">
        <v>1</v>
      </c>
      <c r="GI390">
        <v>-2</v>
      </c>
      <c r="GJ390">
        <v>0</v>
      </c>
      <c r="GK390">
        <f>ROUND(R390*(R12)/100,2)</f>
        <v>0</v>
      </c>
      <c r="GL390">
        <f t="shared" ref="GL390:GL395" si="364">ROUND(IF(AND(BH390=3,BI390=3,FS390&lt;&gt;0),P390,0),2)</f>
        <v>0</v>
      </c>
      <c r="GM390">
        <f t="shared" ref="GM390:GM395" si="365">ROUND(O390+X390+Y390+GK390,2)+GX390</f>
        <v>136660.09</v>
      </c>
      <c r="GN390">
        <f t="shared" ref="GN390:GN395" si="366">IF(OR(BI390=0,BI390=1),GM390-GX390,0)</f>
        <v>0</v>
      </c>
      <c r="GO390">
        <f t="shared" ref="GO390:GO395" si="367">IF(BI390=2,GM390-GX390,0)</f>
        <v>0</v>
      </c>
      <c r="GP390">
        <f t="shared" ref="GP390:GP395" si="368">IF(BI390=4,GM390-GX390,0)</f>
        <v>136660.09</v>
      </c>
      <c r="GR390">
        <v>0</v>
      </c>
      <c r="GS390">
        <v>3</v>
      </c>
      <c r="GT390">
        <v>0</v>
      </c>
      <c r="GU390" t="s">
        <v>3</v>
      </c>
      <c r="GV390">
        <f t="shared" ref="GV390:GV395" si="369">ROUND((GT390),6)</f>
        <v>0</v>
      </c>
      <c r="GW390">
        <v>1</v>
      </c>
      <c r="GX390">
        <f t="shared" ref="GX390:GX395" si="370">ROUND(HC390*I390,2)</f>
        <v>0</v>
      </c>
      <c r="HA390">
        <v>0</v>
      </c>
      <c r="HB390">
        <v>0</v>
      </c>
      <c r="HC390">
        <f t="shared" ref="HC390:HC395" si="371">GV390*GW390</f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1" spans="1:245" x14ac:dyDescent="0.2">
      <c r="A391">
        <v>17</v>
      </c>
      <c r="B391">
        <v>1</v>
      </c>
      <c r="D391">
        <f>ROW(EtalonRes!A301)</f>
        <v>301</v>
      </c>
      <c r="E391" t="s">
        <v>395</v>
      </c>
      <c r="F391" t="s">
        <v>396</v>
      </c>
      <c r="G391" t="s">
        <v>397</v>
      </c>
      <c r="H391" t="s">
        <v>31</v>
      </c>
      <c r="I391">
        <f>ROUND(ROUND(35+5,9),9)</f>
        <v>40</v>
      </c>
      <c r="J391">
        <v>0</v>
      </c>
      <c r="K391">
        <f>ROUND(ROUND(35+5,9),9)</f>
        <v>40</v>
      </c>
      <c r="O391">
        <f t="shared" si="341"/>
        <v>10856.4</v>
      </c>
      <c r="P391">
        <f t="shared" si="342"/>
        <v>62.8</v>
      </c>
      <c r="Q391">
        <f t="shared" si="343"/>
        <v>0</v>
      </c>
      <c r="R391">
        <f t="shared" si="344"/>
        <v>0</v>
      </c>
      <c r="S391">
        <f t="shared" si="345"/>
        <v>10793.6</v>
      </c>
      <c r="T391">
        <f t="shared" si="346"/>
        <v>0</v>
      </c>
      <c r="U391">
        <f t="shared" si="347"/>
        <v>19.2</v>
      </c>
      <c r="V391">
        <f t="shared" si="348"/>
        <v>0</v>
      </c>
      <c r="W391">
        <f t="shared" si="349"/>
        <v>0</v>
      </c>
      <c r="X391">
        <f t="shared" si="350"/>
        <v>7555.52</v>
      </c>
      <c r="Y391">
        <f t="shared" si="350"/>
        <v>1079.3599999999999</v>
      </c>
      <c r="AA391">
        <v>1471988752</v>
      </c>
      <c r="AB391">
        <f t="shared" si="351"/>
        <v>271.41000000000003</v>
      </c>
      <c r="AC391">
        <f>ROUND((ES391),6)</f>
        <v>1.57</v>
      </c>
      <c r="AD391">
        <f>ROUND((((ET391)-(EU391))+AE391),6)</f>
        <v>0</v>
      </c>
      <c r="AE391">
        <f>ROUND((EU391),6)</f>
        <v>0</v>
      </c>
      <c r="AF391">
        <f>ROUND((EV391),6)</f>
        <v>269.83999999999997</v>
      </c>
      <c r="AG391">
        <f t="shared" si="352"/>
        <v>0</v>
      </c>
      <c r="AH391">
        <f>(EW391)</f>
        <v>0.48</v>
      </c>
      <c r="AI391">
        <f>(EX391)</f>
        <v>0</v>
      </c>
      <c r="AJ391">
        <f t="shared" si="353"/>
        <v>0</v>
      </c>
      <c r="AK391">
        <v>271.41000000000003</v>
      </c>
      <c r="AL391">
        <v>1.57</v>
      </c>
      <c r="AM391">
        <v>0</v>
      </c>
      <c r="AN391">
        <v>0</v>
      </c>
      <c r="AO391">
        <v>269.83999999999997</v>
      </c>
      <c r="AP391">
        <v>0</v>
      </c>
      <c r="AQ391">
        <v>0.48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398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</v>
      </c>
      <c r="CO391">
        <v>0</v>
      </c>
      <c r="CP391">
        <f t="shared" si="354"/>
        <v>10856.4</v>
      </c>
      <c r="CQ391">
        <f t="shared" si="355"/>
        <v>1.57</v>
      </c>
      <c r="CR391">
        <f>((((ET391)*BB391-(EU391)*BS391)+AE391*BS391)*AV391)</f>
        <v>0</v>
      </c>
      <c r="CS391">
        <f t="shared" si="356"/>
        <v>0</v>
      </c>
      <c r="CT391">
        <f t="shared" si="357"/>
        <v>269.83999999999997</v>
      </c>
      <c r="CU391">
        <f t="shared" si="358"/>
        <v>0</v>
      </c>
      <c r="CV391">
        <f t="shared" si="359"/>
        <v>0.48</v>
      </c>
      <c r="CW391">
        <f t="shared" si="360"/>
        <v>0</v>
      </c>
      <c r="CX391">
        <f t="shared" si="360"/>
        <v>0</v>
      </c>
      <c r="CY391">
        <f t="shared" si="361"/>
        <v>7555.52</v>
      </c>
      <c r="CZ391">
        <f t="shared" si="362"/>
        <v>1079.3599999999999</v>
      </c>
      <c r="DC391" t="s">
        <v>3</v>
      </c>
      <c r="DD391" t="s">
        <v>3</v>
      </c>
      <c r="DE391" t="s">
        <v>3</v>
      </c>
      <c r="DF391" t="s">
        <v>3</v>
      </c>
      <c r="DG391" t="s">
        <v>3</v>
      </c>
      <c r="DH391" t="s">
        <v>3</v>
      </c>
      <c r="DI391" t="s">
        <v>3</v>
      </c>
      <c r="DJ391" t="s">
        <v>3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16987630</v>
      </c>
      <c r="DV391" t="s">
        <v>31</v>
      </c>
      <c r="DW391" t="s">
        <v>31</v>
      </c>
      <c r="DX391">
        <v>1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19</v>
      </c>
      <c r="EH391">
        <v>0</v>
      </c>
      <c r="EI391" t="s">
        <v>3</v>
      </c>
      <c r="EJ391">
        <v>4</v>
      </c>
      <c r="EK391">
        <v>0</v>
      </c>
      <c r="EL391" t="s">
        <v>20</v>
      </c>
      <c r="EM391" t="s">
        <v>21</v>
      </c>
      <c r="EO391" t="s">
        <v>3</v>
      </c>
      <c r="EQ391">
        <v>0</v>
      </c>
      <c r="ER391">
        <v>271.41000000000003</v>
      </c>
      <c r="ES391">
        <v>1.57</v>
      </c>
      <c r="ET391">
        <v>0</v>
      </c>
      <c r="EU391">
        <v>0</v>
      </c>
      <c r="EV391">
        <v>269.83999999999997</v>
      </c>
      <c r="EW391">
        <v>0.48</v>
      </c>
      <c r="EX391">
        <v>0</v>
      </c>
      <c r="EY391">
        <v>0</v>
      </c>
      <c r="FQ391">
        <v>0</v>
      </c>
      <c r="FR391">
        <f t="shared" si="363"/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-101540422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 t="shared" si="364"/>
        <v>0</v>
      </c>
      <c r="GM391">
        <f t="shared" si="365"/>
        <v>19491.28</v>
      </c>
      <c r="GN391">
        <f t="shared" si="366"/>
        <v>0</v>
      </c>
      <c r="GO391">
        <f t="shared" si="367"/>
        <v>0</v>
      </c>
      <c r="GP391">
        <f t="shared" si="368"/>
        <v>19491.28</v>
      </c>
      <c r="GR391">
        <v>0</v>
      </c>
      <c r="GS391">
        <v>3</v>
      </c>
      <c r="GT391">
        <v>0</v>
      </c>
      <c r="GU391" t="s">
        <v>3</v>
      </c>
      <c r="GV391">
        <f t="shared" si="369"/>
        <v>0</v>
      </c>
      <c r="GW391">
        <v>1</v>
      </c>
      <c r="GX391">
        <f t="shared" si="370"/>
        <v>0</v>
      </c>
      <c r="HA391">
        <v>0</v>
      </c>
      <c r="HB391">
        <v>0</v>
      </c>
      <c r="HC391">
        <f t="shared" si="371"/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D392">
        <f>ROW(EtalonRes!A304)</f>
        <v>304</v>
      </c>
      <c r="E392" t="s">
        <v>399</v>
      </c>
      <c r="F392" t="s">
        <v>400</v>
      </c>
      <c r="G392" t="s">
        <v>401</v>
      </c>
      <c r="H392" t="s">
        <v>40</v>
      </c>
      <c r="I392">
        <f>ROUND(ROUND(14+2,9),9)</f>
        <v>16</v>
      </c>
      <c r="J392">
        <v>0</v>
      </c>
      <c r="K392">
        <f>ROUND(ROUND(14+2,9),9)</f>
        <v>16</v>
      </c>
      <c r="O392">
        <f t="shared" si="341"/>
        <v>1465.92</v>
      </c>
      <c r="P392">
        <f t="shared" si="342"/>
        <v>82.72</v>
      </c>
      <c r="Q392">
        <f t="shared" si="343"/>
        <v>0</v>
      </c>
      <c r="R392">
        <f t="shared" si="344"/>
        <v>0</v>
      </c>
      <c r="S392">
        <f t="shared" si="345"/>
        <v>1383.2</v>
      </c>
      <c r="T392">
        <f t="shared" si="346"/>
        <v>0</v>
      </c>
      <c r="U392">
        <f t="shared" si="347"/>
        <v>2.2399999999999998</v>
      </c>
      <c r="V392">
        <f t="shared" si="348"/>
        <v>0</v>
      </c>
      <c r="W392">
        <f t="shared" si="349"/>
        <v>0</v>
      </c>
      <c r="X392">
        <f t="shared" si="350"/>
        <v>968.24</v>
      </c>
      <c r="Y392">
        <f t="shared" si="350"/>
        <v>138.32</v>
      </c>
      <c r="AA392">
        <v>1471988752</v>
      </c>
      <c r="AB392">
        <f t="shared" si="351"/>
        <v>91.62</v>
      </c>
      <c r="AC392">
        <f>ROUND(((ES392*1)),6)</f>
        <v>5.17</v>
      </c>
      <c r="AD392">
        <f>ROUND(((((ET392*0.7))-((EU392*0.7)))+AE392),6)</f>
        <v>0</v>
      </c>
      <c r="AE392">
        <f>ROUND(((EU392*0.7)),6)</f>
        <v>0</v>
      </c>
      <c r="AF392">
        <f>ROUND(((EV392*0.7)),6)</f>
        <v>86.45</v>
      </c>
      <c r="AG392">
        <f t="shared" si="352"/>
        <v>0</v>
      </c>
      <c r="AH392">
        <f>((EW392*0.7))</f>
        <v>0.13999999999999999</v>
      </c>
      <c r="AI392">
        <f>((EX392*0.7))</f>
        <v>0</v>
      </c>
      <c r="AJ392">
        <f t="shared" si="353"/>
        <v>0</v>
      </c>
      <c r="AK392">
        <v>128.66999999999999</v>
      </c>
      <c r="AL392">
        <v>5.17</v>
      </c>
      <c r="AM392">
        <v>0</v>
      </c>
      <c r="AN392">
        <v>0</v>
      </c>
      <c r="AO392">
        <v>123.5</v>
      </c>
      <c r="AP392">
        <v>0</v>
      </c>
      <c r="AQ392">
        <v>0.2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402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700</v>
      </c>
      <c r="CO392">
        <v>0</v>
      </c>
      <c r="CP392">
        <f t="shared" si="354"/>
        <v>1465.92</v>
      </c>
      <c r="CQ392">
        <f t="shared" si="355"/>
        <v>5.17</v>
      </c>
      <c r="CR392">
        <f>(((((ET392*0.7))*BB392-((EU392*0.7))*BS392)+AE392*BS392)*AV392)</f>
        <v>0</v>
      </c>
      <c r="CS392">
        <f t="shared" si="356"/>
        <v>0</v>
      </c>
      <c r="CT392">
        <f t="shared" si="357"/>
        <v>86.45</v>
      </c>
      <c r="CU392">
        <f t="shared" si="358"/>
        <v>0</v>
      </c>
      <c r="CV392">
        <f t="shared" si="359"/>
        <v>0.13999999999999999</v>
      </c>
      <c r="CW392">
        <f t="shared" si="360"/>
        <v>0</v>
      </c>
      <c r="CX392">
        <f t="shared" si="360"/>
        <v>0</v>
      </c>
      <c r="CY392">
        <f t="shared" si="361"/>
        <v>968.24</v>
      </c>
      <c r="CZ392">
        <f t="shared" si="362"/>
        <v>138.32</v>
      </c>
      <c r="DC392" t="s">
        <v>3</v>
      </c>
      <c r="DD392" t="s">
        <v>403</v>
      </c>
      <c r="DE392" t="s">
        <v>404</v>
      </c>
      <c r="DF392" t="s">
        <v>404</v>
      </c>
      <c r="DG392" t="s">
        <v>404</v>
      </c>
      <c r="DH392" t="s">
        <v>3</v>
      </c>
      <c r="DI392" t="s">
        <v>404</v>
      </c>
      <c r="DJ392" t="s">
        <v>404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16987630</v>
      </c>
      <c r="DV392" t="s">
        <v>40</v>
      </c>
      <c r="DW392" t="s">
        <v>40</v>
      </c>
      <c r="DX392">
        <v>10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19</v>
      </c>
      <c r="EH392">
        <v>0</v>
      </c>
      <c r="EI392" t="s">
        <v>3</v>
      </c>
      <c r="EJ392">
        <v>4</v>
      </c>
      <c r="EK392">
        <v>0</v>
      </c>
      <c r="EL392" t="s">
        <v>20</v>
      </c>
      <c r="EM392" t="s">
        <v>21</v>
      </c>
      <c r="EO392" t="s">
        <v>405</v>
      </c>
      <c r="EQ392">
        <v>768</v>
      </c>
      <c r="ER392">
        <v>128.66999999999999</v>
      </c>
      <c r="ES392">
        <v>5.17</v>
      </c>
      <c r="ET392">
        <v>0</v>
      </c>
      <c r="EU392">
        <v>0</v>
      </c>
      <c r="EV392">
        <v>123.5</v>
      </c>
      <c r="EW392">
        <v>0.2</v>
      </c>
      <c r="EX392">
        <v>0</v>
      </c>
      <c r="EY392">
        <v>0</v>
      </c>
      <c r="FQ392">
        <v>0</v>
      </c>
      <c r="FR392">
        <f t="shared" si="363"/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102689618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 t="shared" si="364"/>
        <v>0</v>
      </c>
      <c r="GM392">
        <f t="shared" si="365"/>
        <v>2572.48</v>
      </c>
      <c r="GN392">
        <f t="shared" si="366"/>
        <v>0</v>
      </c>
      <c r="GO392">
        <f t="shared" si="367"/>
        <v>0</v>
      </c>
      <c r="GP392">
        <f t="shared" si="368"/>
        <v>2572.48</v>
      </c>
      <c r="GR392">
        <v>0</v>
      </c>
      <c r="GS392">
        <v>3</v>
      </c>
      <c r="GT392">
        <v>0</v>
      </c>
      <c r="GU392" t="s">
        <v>3</v>
      </c>
      <c r="GV392">
        <f t="shared" si="369"/>
        <v>0</v>
      </c>
      <c r="GW392">
        <v>1</v>
      </c>
      <c r="GX392">
        <f t="shared" si="370"/>
        <v>0</v>
      </c>
      <c r="HA392">
        <v>0</v>
      </c>
      <c r="HB392">
        <v>0</v>
      </c>
      <c r="HC392">
        <f t="shared" si="371"/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17</v>
      </c>
      <c r="B393">
        <v>1</v>
      </c>
      <c r="D393">
        <f>ROW(EtalonRes!A308)</f>
        <v>308</v>
      </c>
      <c r="E393" t="s">
        <v>3</v>
      </c>
      <c r="F393" t="s">
        <v>406</v>
      </c>
      <c r="G393" t="s">
        <v>407</v>
      </c>
      <c r="H393" t="s">
        <v>31</v>
      </c>
      <c r="I393">
        <f>ROUND(ROUND(14+2,9),9)</f>
        <v>16</v>
      </c>
      <c r="J393">
        <v>0</v>
      </c>
      <c r="K393">
        <f>ROUND(ROUND(14+2,9),9)</f>
        <v>16</v>
      </c>
      <c r="O393">
        <f t="shared" si="341"/>
        <v>3557.4</v>
      </c>
      <c r="P393">
        <f t="shared" si="342"/>
        <v>22.56</v>
      </c>
      <c r="Q393">
        <f t="shared" si="343"/>
        <v>469.08</v>
      </c>
      <c r="R393">
        <f t="shared" si="344"/>
        <v>297.36</v>
      </c>
      <c r="S393">
        <f t="shared" si="345"/>
        <v>3065.76</v>
      </c>
      <c r="T393">
        <f t="shared" si="346"/>
        <v>0</v>
      </c>
      <c r="U393">
        <f t="shared" si="347"/>
        <v>4.32</v>
      </c>
      <c r="V393">
        <f t="shared" si="348"/>
        <v>0</v>
      </c>
      <c r="W393">
        <f t="shared" si="349"/>
        <v>0</v>
      </c>
      <c r="X393">
        <f t="shared" si="350"/>
        <v>2146.0300000000002</v>
      </c>
      <c r="Y393">
        <f t="shared" si="350"/>
        <v>306.58</v>
      </c>
      <c r="AA393">
        <v>-1</v>
      </c>
      <c r="AB393">
        <f t="shared" si="351"/>
        <v>222.33750000000001</v>
      </c>
      <c r="AC393">
        <f>ROUND((((ES393*3)*1)),6)</f>
        <v>1.41</v>
      </c>
      <c r="AD393">
        <f>ROUND((((((ET393*3)*0.75))-(((EU393*3)*0.75)))+AE393),6)</f>
        <v>29.317499999999999</v>
      </c>
      <c r="AE393">
        <f>ROUND((((EU393*3)*0.75)),6)</f>
        <v>18.585000000000001</v>
      </c>
      <c r="AF393">
        <f>ROUND((((EV393*3)*0.75)),6)</f>
        <v>191.61</v>
      </c>
      <c r="AG393">
        <f t="shared" si="352"/>
        <v>0</v>
      </c>
      <c r="AH393">
        <f>(((EW393*3)*0.75))</f>
        <v>0.27</v>
      </c>
      <c r="AI393">
        <f>(((EX393*3)*0.75))</f>
        <v>0</v>
      </c>
      <c r="AJ393">
        <f t="shared" si="353"/>
        <v>0</v>
      </c>
      <c r="AK393">
        <v>98.66</v>
      </c>
      <c r="AL393">
        <v>0.47</v>
      </c>
      <c r="AM393">
        <v>13.03</v>
      </c>
      <c r="AN393">
        <v>8.26</v>
      </c>
      <c r="AO393">
        <v>85.16</v>
      </c>
      <c r="AP393">
        <v>0</v>
      </c>
      <c r="AQ393">
        <v>0.12</v>
      </c>
      <c r="AR393">
        <v>0</v>
      </c>
      <c r="AS393">
        <v>0</v>
      </c>
      <c r="AT393">
        <v>70</v>
      </c>
      <c r="AU393">
        <v>10</v>
      </c>
      <c r="AV393">
        <v>1</v>
      </c>
      <c r="AW393">
        <v>1</v>
      </c>
      <c r="AZ393">
        <v>1</v>
      </c>
      <c r="BA393">
        <v>1</v>
      </c>
      <c r="BB393">
        <v>1</v>
      </c>
      <c r="BC393">
        <v>1</v>
      </c>
      <c r="BD393" t="s">
        <v>3</v>
      </c>
      <c r="BE393" t="s">
        <v>3</v>
      </c>
      <c r="BF393" t="s">
        <v>3</v>
      </c>
      <c r="BG393" t="s">
        <v>3</v>
      </c>
      <c r="BH393">
        <v>0</v>
      </c>
      <c r="BI393">
        <v>4</v>
      </c>
      <c r="BJ393" t="s">
        <v>408</v>
      </c>
      <c r="BM393">
        <v>0</v>
      </c>
      <c r="BN393">
        <v>0</v>
      </c>
      <c r="BO393" t="s">
        <v>3</v>
      </c>
      <c r="BP393">
        <v>0</v>
      </c>
      <c r="BQ393">
        <v>1</v>
      </c>
      <c r="BR393">
        <v>0</v>
      </c>
      <c r="BS393">
        <v>1</v>
      </c>
      <c r="BT393">
        <v>1</v>
      </c>
      <c r="BU393">
        <v>1</v>
      </c>
      <c r="BV393">
        <v>1</v>
      </c>
      <c r="BW393">
        <v>1</v>
      </c>
      <c r="BX393">
        <v>1</v>
      </c>
      <c r="BY393" t="s">
        <v>3</v>
      </c>
      <c r="BZ393">
        <v>70</v>
      </c>
      <c r="CA393">
        <v>10</v>
      </c>
      <c r="CB393" t="s">
        <v>3</v>
      </c>
      <c r="CE393">
        <v>0</v>
      </c>
      <c r="CF393">
        <v>0</v>
      </c>
      <c r="CG393">
        <v>0</v>
      </c>
      <c r="CM393">
        <v>0</v>
      </c>
      <c r="CN393" t="s">
        <v>701</v>
      </c>
      <c r="CO393">
        <v>0</v>
      </c>
      <c r="CP393">
        <f t="shared" si="354"/>
        <v>3557.4</v>
      </c>
      <c r="CQ393">
        <f t="shared" si="355"/>
        <v>1.41</v>
      </c>
      <c r="CR393">
        <f>((((((ET393*3)*0.75))*BB393-(((EU393*3)*0.75))*BS393)+AE393*BS393)*AV393)</f>
        <v>29.317499999999995</v>
      </c>
      <c r="CS393">
        <f t="shared" si="356"/>
        <v>18.585000000000001</v>
      </c>
      <c r="CT393">
        <f t="shared" si="357"/>
        <v>191.61</v>
      </c>
      <c r="CU393">
        <f t="shared" si="358"/>
        <v>0</v>
      </c>
      <c r="CV393">
        <f t="shared" si="359"/>
        <v>0.27</v>
      </c>
      <c r="CW393">
        <f t="shared" si="360"/>
        <v>0</v>
      </c>
      <c r="CX393">
        <f t="shared" si="360"/>
        <v>0</v>
      </c>
      <c r="CY393">
        <f t="shared" si="361"/>
        <v>2146.0320000000002</v>
      </c>
      <c r="CZ393">
        <f t="shared" si="362"/>
        <v>306.57600000000002</v>
      </c>
      <c r="DC393" t="s">
        <v>3</v>
      </c>
      <c r="DD393" t="s">
        <v>409</v>
      </c>
      <c r="DE393" t="s">
        <v>410</v>
      </c>
      <c r="DF393" t="s">
        <v>410</v>
      </c>
      <c r="DG393" t="s">
        <v>410</v>
      </c>
      <c r="DH393" t="s">
        <v>3</v>
      </c>
      <c r="DI393" t="s">
        <v>410</v>
      </c>
      <c r="DJ393" t="s">
        <v>410</v>
      </c>
      <c r="DK393" t="s">
        <v>3</v>
      </c>
      <c r="DL393" t="s">
        <v>3</v>
      </c>
      <c r="DM393" t="s">
        <v>3</v>
      </c>
      <c r="DN393">
        <v>0</v>
      </c>
      <c r="DO393">
        <v>0</v>
      </c>
      <c r="DP393">
        <v>1</v>
      </c>
      <c r="DQ393">
        <v>1</v>
      </c>
      <c r="DU393">
        <v>16987630</v>
      </c>
      <c r="DV393" t="s">
        <v>31</v>
      </c>
      <c r="DW393" t="s">
        <v>31</v>
      </c>
      <c r="DX393">
        <v>1</v>
      </c>
      <c r="DZ393" t="s">
        <v>3</v>
      </c>
      <c r="EA393" t="s">
        <v>3</v>
      </c>
      <c r="EB393" t="s">
        <v>3</v>
      </c>
      <c r="EC393" t="s">
        <v>3</v>
      </c>
      <c r="EE393">
        <v>1441815344</v>
      </c>
      <c r="EF393">
        <v>1</v>
      </c>
      <c r="EG393" t="s">
        <v>19</v>
      </c>
      <c r="EH393">
        <v>0</v>
      </c>
      <c r="EI393" t="s">
        <v>3</v>
      </c>
      <c r="EJ393">
        <v>4</v>
      </c>
      <c r="EK393">
        <v>0</v>
      </c>
      <c r="EL393" t="s">
        <v>20</v>
      </c>
      <c r="EM393" t="s">
        <v>21</v>
      </c>
      <c r="EO393" t="s">
        <v>411</v>
      </c>
      <c r="EQ393">
        <v>1792</v>
      </c>
      <c r="ER393">
        <v>98.66</v>
      </c>
      <c r="ES393">
        <v>0.47</v>
      </c>
      <c r="ET393">
        <v>13.03</v>
      </c>
      <c r="EU393">
        <v>8.26</v>
      </c>
      <c r="EV393">
        <v>85.16</v>
      </c>
      <c r="EW393">
        <v>0.12</v>
      </c>
      <c r="EX393">
        <v>0</v>
      </c>
      <c r="EY393">
        <v>0</v>
      </c>
      <c r="FQ393">
        <v>0</v>
      </c>
      <c r="FR393">
        <f t="shared" si="363"/>
        <v>0</v>
      </c>
      <c r="FS393">
        <v>0</v>
      </c>
      <c r="FX393">
        <v>70</v>
      </c>
      <c r="FY393">
        <v>10</v>
      </c>
      <c r="GA393" t="s">
        <v>3</v>
      </c>
      <c r="GD393">
        <v>0</v>
      </c>
      <c r="GF393">
        <v>1227584291</v>
      </c>
      <c r="GG393">
        <v>2</v>
      </c>
      <c r="GH393">
        <v>1</v>
      </c>
      <c r="GI393">
        <v>-2</v>
      </c>
      <c r="GJ393">
        <v>0</v>
      </c>
      <c r="GK393">
        <f>ROUND(R393*(R12)/100,2)</f>
        <v>321.14999999999998</v>
      </c>
      <c r="GL393">
        <f t="shared" si="364"/>
        <v>0</v>
      </c>
      <c r="GM393">
        <f t="shared" si="365"/>
        <v>6331.16</v>
      </c>
      <c r="GN393">
        <f t="shared" si="366"/>
        <v>0</v>
      </c>
      <c r="GO393">
        <f t="shared" si="367"/>
        <v>0</v>
      </c>
      <c r="GP393">
        <f t="shared" si="368"/>
        <v>6331.16</v>
      </c>
      <c r="GR393">
        <v>0</v>
      </c>
      <c r="GS393">
        <v>3</v>
      </c>
      <c r="GT393">
        <v>0</v>
      </c>
      <c r="GU393" t="s">
        <v>3</v>
      </c>
      <c r="GV393">
        <f t="shared" si="369"/>
        <v>0</v>
      </c>
      <c r="GW393">
        <v>1</v>
      </c>
      <c r="GX393">
        <f t="shared" si="370"/>
        <v>0</v>
      </c>
      <c r="HA393">
        <v>0</v>
      </c>
      <c r="HB393">
        <v>0</v>
      </c>
      <c r="HC393">
        <f t="shared" si="371"/>
        <v>0</v>
      </c>
      <c r="HE393" t="s">
        <v>3</v>
      </c>
      <c r="HF393" t="s">
        <v>3</v>
      </c>
      <c r="HM393" t="s">
        <v>3</v>
      </c>
      <c r="HN393" t="s">
        <v>3</v>
      </c>
      <c r="HO393" t="s">
        <v>3</v>
      </c>
      <c r="HP393" t="s">
        <v>3</v>
      </c>
      <c r="HQ393" t="s">
        <v>3</v>
      </c>
      <c r="IK393">
        <v>0</v>
      </c>
    </row>
    <row r="394" spans="1:245" x14ac:dyDescent="0.2">
      <c r="A394">
        <v>17</v>
      </c>
      <c r="B394">
        <v>1</v>
      </c>
      <c r="D394">
        <f>ROW(EtalonRes!A310)</f>
        <v>310</v>
      </c>
      <c r="E394" t="s">
        <v>412</v>
      </c>
      <c r="F394" t="s">
        <v>390</v>
      </c>
      <c r="G394" t="s">
        <v>702</v>
      </c>
      <c r="H394" t="s">
        <v>31</v>
      </c>
      <c r="I394">
        <f>ROUND(ROUND(21+3,9),9)</f>
        <v>24</v>
      </c>
      <c r="J394">
        <v>0</v>
      </c>
      <c r="K394">
        <f>ROUND(ROUND(21+3,9),9)</f>
        <v>24</v>
      </c>
      <c r="O394">
        <f t="shared" si="341"/>
        <v>4062.72</v>
      </c>
      <c r="P394">
        <f t="shared" si="342"/>
        <v>15.12</v>
      </c>
      <c r="Q394">
        <f t="shared" si="343"/>
        <v>0</v>
      </c>
      <c r="R394">
        <f t="shared" si="344"/>
        <v>0</v>
      </c>
      <c r="S394">
        <f t="shared" si="345"/>
        <v>4047.6</v>
      </c>
      <c r="T394">
        <f t="shared" si="346"/>
        <v>0</v>
      </c>
      <c r="U394">
        <f t="shared" si="347"/>
        <v>7.1999999999999993</v>
      </c>
      <c r="V394">
        <f t="shared" si="348"/>
        <v>0</v>
      </c>
      <c r="W394">
        <f t="shared" si="349"/>
        <v>0</v>
      </c>
      <c r="X394">
        <f t="shared" si="350"/>
        <v>2833.32</v>
      </c>
      <c r="Y394">
        <f t="shared" si="350"/>
        <v>404.76</v>
      </c>
      <c r="AA394">
        <v>1471988752</v>
      </c>
      <c r="AB394">
        <f t="shared" si="351"/>
        <v>169.28</v>
      </c>
      <c r="AC394">
        <f>ROUND((ES394),6)</f>
        <v>0.63</v>
      </c>
      <c r="AD394">
        <f>ROUND((((ET394)-(EU394))+AE394),6)</f>
        <v>0</v>
      </c>
      <c r="AE394">
        <f>ROUND((EU394),6)</f>
        <v>0</v>
      </c>
      <c r="AF394">
        <f>ROUND((EV394),6)</f>
        <v>168.65</v>
      </c>
      <c r="AG394">
        <f t="shared" si="352"/>
        <v>0</v>
      </c>
      <c r="AH394">
        <f>(EW394)</f>
        <v>0.3</v>
      </c>
      <c r="AI394">
        <f>(EX394)</f>
        <v>0</v>
      </c>
      <c r="AJ394">
        <f t="shared" si="353"/>
        <v>0</v>
      </c>
      <c r="AK394">
        <v>169.28</v>
      </c>
      <c r="AL394">
        <v>0.63</v>
      </c>
      <c r="AM394">
        <v>0</v>
      </c>
      <c r="AN394">
        <v>0</v>
      </c>
      <c r="AO394">
        <v>168.65</v>
      </c>
      <c r="AP394">
        <v>0</v>
      </c>
      <c r="AQ394">
        <v>0.3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391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3</v>
      </c>
      <c r="CO394">
        <v>0</v>
      </c>
      <c r="CP394">
        <f t="shared" si="354"/>
        <v>4062.72</v>
      </c>
      <c r="CQ394">
        <f t="shared" si="355"/>
        <v>0.63</v>
      </c>
      <c r="CR394">
        <f>((((ET394)*BB394-(EU394)*BS394)+AE394*BS394)*AV394)</f>
        <v>0</v>
      </c>
      <c r="CS394">
        <f t="shared" si="356"/>
        <v>0</v>
      </c>
      <c r="CT394">
        <f t="shared" si="357"/>
        <v>168.65</v>
      </c>
      <c r="CU394">
        <f t="shared" si="358"/>
        <v>0</v>
      </c>
      <c r="CV394">
        <f t="shared" si="359"/>
        <v>0.3</v>
      </c>
      <c r="CW394">
        <f t="shared" si="360"/>
        <v>0</v>
      </c>
      <c r="CX394">
        <f t="shared" si="360"/>
        <v>0</v>
      </c>
      <c r="CY394">
        <f t="shared" si="361"/>
        <v>2833.32</v>
      </c>
      <c r="CZ394">
        <f t="shared" si="362"/>
        <v>404.76</v>
      </c>
      <c r="DC394" t="s">
        <v>3</v>
      </c>
      <c r="DD394" t="s">
        <v>3</v>
      </c>
      <c r="DE394" t="s">
        <v>3</v>
      </c>
      <c r="DF394" t="s">
        <v>3</v>
      </c>
      <c r="DG394" t="s">
        <v>3</v>
      </c>
      <c r="DH394" t="s">
        <v>3</v>
      </c>
      <c r="DI394" t="s">
        <v>3</v>
      </c>
      <c r="DJ394" t="s">
        <v>3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31</v>
      </c>
      <c r="DW394" t="s">
        <v>31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19</v>
      </c>
      <c r="EH394">
        <v>0</v>
      </c>
      <c r="EI394" t="s">
        <v>3</v>
      </c>
      <c r="EJ394">
        <v>4</v>
      </c>
      <c r="EK394">
        <v>0</v>
      </c>
      <c r="EL394" t="s">
        <v>20</v>
      </c>
      <c r="EM394" t="s">
        <v>21</v>
      </c>
      <c r="EO394" t="s">
        <v>3</v>
      </c>
      <c r="EQ394">
        <v>0</v>
      </c>
      <c r="ER394">
        <v>169.28</v>
      </c>
      <c r="ES394">
        <v>0.63</v>
      </c>
      <c r="ET394">
        <v>0</v>
      </c>
      <c r="EU394">
        <v>0</v>
      </c>
      <c r="EV394">
        <v>168.65</v>
      </c>
      <c r="EW394">
        <v>0.3</v>
      </c>
      <c r="EX394">
        <v>0</v>
      </c>
      <c r="EY394">
        <v>0</v>
      </c>
      <c r="FQ394">
        <v>0</v>
      </c>
      <c r="FR394">
        <f t="shared" si="363"/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1830895446</v>
      </c>
      <c r="GG394">
        <v>2</v>
      </c>
      <c r="GH394">
        <v>1</v>
      </c>
      <c r="GI394">
        <v>-2</v>
      </c>
      <c r="GJ394">
        <v>0</v>
      </c>
      <c r="GK394">
        <f>ROUND(R394*(R12)/100,2)</f>
        <v>0</v>
      </c>
      <c r="GL394">
        <f t="shared" si="364"/>
        <v>0</v>
      </c>
      <c r="GM394">
        <f t="shared" si="365"/>
        <v>7300.8</v>
      </c>
      <c r="GN394">
        <f t="shared" si="366"/>
        <v>0</v>
      </c>
      <c r="GO394">
        <f t="shared" si="367"/>
        <v>0</v>
      </c>
      <c r="GP394">
        <f t="shared" si="368"/>
        <v>7300.8</v>
      </c>
      <c r="GR394">
        <v>0</v>
      </c>
      <c r="GS394">
        <v>3</v>
      </c>
      <c r="GT394">
        <v>0</v>
      </c>
      <c r="GU394" t="s">
        <v>3</v>
      </c>
      <c r="GV394">
        <f t="shared" si="369"/>
        <v>0</v>
      </c>
      <c r="GW394">
        <v>1</v>
      </c>
      <c r="GX394">
        <f t="shared" si="370"/>
        <v>0</v>
      </c>
      <c r="HA394">
        <v>0</v>
      </c>
      <c r="HB394">
        <v>0</v>
      </c>
      <c r="HC394">
        <f t="shared" si="371"/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D395">
        <f>ROW(EtalonRes!A312)</f>
        <v>312</v>
      </c>
      <c r="E395" t="s">
        <v>413</v>
      </c>
      <c r="F395" t="s">
        <v>390</v>
      </c>
      <c r="G395" t="s">
        <v>703</v>
      </c>
      <c r="H395" t="s">
        <v>31</v>
      </c>
      <c r="I395">
        <f>ROUND(ROUND(14+12,9),9)</f>
        <v>26</v>
      </c>
      <c r="J395">
        <v>0</v>
      </c>
      <c r="K395">
        <f>ROUND(ROUND(14+12,9),9)</f>
        <v>26</v>
      </c>
      <c r="O395">
        <f t="shared" si="341"/>
        <v>4401.28</v>
      </c>
      <c r="P395">
        <f t="shared" si="342"/>
        <v>16.38</v>
      </c>
      <c r="Q395">
        <f t="shared" si="343"/>
        <v>0</v>
      </c>
      <c r="R395">
        <f t="shared" si="344"/>
        <v>0</v>
      </c>
      <c r="S395">
        <f t="shared" si="345"/>
        <v>4384.8999999999996</v>
      </c>
      <c r="T395">
        <f t="shared" si="346"/>
        <v>0</v>
      </c>
      <c r="U395">
        <f t="shared" si="347"/>
        <v>7.8</v>
      </c>
      <c r="V395">
        <f t="shared" si="348"/>
        <v>0</v>
      </c>
      <c r="W395">
        <f t="shared" si="349"/>
        <v>0</v>
      </c>
      <c r="X395">
        <f t="shared" si="350"/>
        <v>3069.43</v>
      </c>
      <c r="Y395">
        <f t="shared" si="350"/>
        <v>438.49</v>
      </c>
      <c r="AA395">
        <v>1471988752</v>
      </c>
      <c r="AB395">
        <f t="shared" si="351"/>
        <v>169.28</v>
      </c>
      <c r="AC395">
        <f>ROUND((ES395),6)</f>
        <v>0.63</v>
      </c>
      <c r="AD395">
        <f>ROUND((((ET395)-(EU395))+AE395),6)</f>
        <v>0</v>
      </c>
      <c r="AE395">
        <f>ROUND((EU395),6)</f>
        <v>0</v>
      </c>
      <c r="AF395">
        <f>ROUND((EV395),6)</f>
        <v>168.65</v>
      </c>
      <c r="AG395">
        <f t="shared" si="352"/>
        <v>0</v>
      </c>
      <c r="AH395">
        <f>(EW395)</f>
        <v>0.3</v>
      </c>
      <c r="AI395">
        <f>(EX395)</f>
        <v>0</v>
      </c>
      <c r="AJ395">
        <f t="shared" si="353"/>
        <v>0</v>
      </c>
      <c r="AK395">
        <v>169.28</v>
      </c>
      <c r="AL395">
        <v>0.63</v>
      </c>
      <c r="AM395">
        <v>0</v>
      </c>
      <c r="AN395">
        <v>0</v>
      </c>
      <c r="AO395">
        <v>168.65</v>
      </c>
      <c r="AP395">
        <v>0</v>
      </c>
      <c r="AQ395">
        <v>0.3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391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54"/>
        <v>4401.28</v>
      </c>
      <c r="CQ395">
        <f t="shared" si="355"/>
        <v>0.63</v>
      </c>
      <c r="CR395">
        <f>((((ET395)*BB395-(EU395)*BS395)+AE395*BS395)*AV395)</f>
        <v>0</v>
      </c>
      <c r="CS395">
        <f t="shared" si="356"/>
        <v>0</v>
      </c>
      <c r="CT395">
        <f t="shared" si="357"/>
        <v>168.65</v>
      </c>
      <c r="CU395">
        <f t="shared" si="358"/>
        <v>0</v>
      </c>
      <c r="CV395">
        <f t="shared" si="359"/>
        <v>0.3</v>
      </c>
      <c r="CW395">
        <f t="shared" si="360"/>
        <v>0</v>
      </c>
      <c r="CX395">
        <f t="shared" si="360"/>
        <v>0</v>
      </c>
      <c r="CY395">
        <f t="shared" si="361"/>
        <v>3069.43</v>
      </c>
      <c r="CZ395">
        <f t="shared" si="362"/>
        <v>438.49</v>
      </c>
      <c r="DC395" t="s">
        <v>3</v>
      </c>
      <c r="DD395" t="s">
        <v>3</v>
      </c>
      <c r="DE395" t="s">
        <v>3</v>
      </c>
      <c r="DF395" t="s">
        <v>3</v>
      </c>
      <c r="DG395" t="s">
        <v>3</v>
      </c>
      <c r="DH395" t="s">
        <v>3</v>
      </c>
      <c r="DI395" t="s">
        <v>3</v>
      </c>
      <c r="DJ395" t="s">
        <v>3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31</v>
      </c>
      <c r="DW395" t="s">
        <v>31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19</v>
      </c>
      <c r="EH395">
        <v>0</v>
      </c>
      <c r="EI395" t="s">
        <v>3</v>
      </c>
      <c r="EJ395">
        <v>4</v>
      </c>
      <c r="EK395">
        <v>0</v>
      </c>
      <c r="EL395" t="s">
        <v>20</v>
      </c>
      <c r="EM395" t="s">
        <v>21</v>
      </c>
      <c r="EO395" t="s">
        <v>3</v>
      </c>
      <c r="EQ395">
        <v>0</v>
      </c>
      <c r="ER395">
        <v>169.28</v>
      </c>
      <c r="ES395">
        <v>0.63</v>
      </c>
      <c r="ET395">
        <v>0</v>
      </c>
      <c r="EU395">
        <v>0</v>
      </c>
      <c r="EV395">
        <v>168.65</v>
      </c>
      <c r="EW395">
        <v>0.3</v>
      </c>
      <c r="EX395">
        <v>0</v>
      </c>
      <c r="EY395">
        <v>0</v>
      </c>
      <c r="FQ395">
        <v>0</v>
      </c>
      <c r="FR395">
        <f t="shared" si="363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1406019009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64"/>
        <v>0</v>
      </c>
      <c r="GM395">
        <f t="shared" si="365"/>
        <v>7909.2</v>
      </c>
      <c r="GN395">
        <f t="shared" si="366"/>
        <v>0</v>
      </c>
      <c r="GO395">
        <f t="shared" si="367"/>
        <v>0</v>
      </c>
      <c r="GP395">
        <f t="shared" si="368"/>
        <v>7909.2</v>
      </c>
      <c r="GR395">
        <v>0</v>
      </c>
      <c r="GS395">
        <v>3</v>
      </c>
      <c r="GT395">
        <v>0</v>
      </c>
      <c r="GU395" t="s">
        <v>3</v>
      </c>
      <c r="GV395">
        <f t="shared" si="369"/>
        <v>0</v>
      </c>
      <c r="GW395">
        <v>1</v>
      </c>
      <c r="GX395">
        <f t="shared" si="370"/>
        <v>0</v>
      </c>
      <c r="HA395">
        <v>0</v>
      </c>
      <c r="HB395">
        <v>0</v>
      </c>
      <c r="HC395">
        <f t="shared" si="371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7" spans="1:245" x14ac:dyDescent="0.2">
      <c r="A397" s="2">
        <v>51</v>
      </c>
      <c r="B397" s="2">
        <f>B386</f>
        <v>1</v>
      </c>
      <c r="C397" s="2">
        <f>A386</f>
        <v>5</v>
      </c>
      <c r="D397" s="2">
        <f>ROW(A386)</f>
        <v>386</v>
      </c>
      <c r="E397" s="2"/>
      <c r="F397" s="2" t="str">
        <f>IF(F386&lt;&gt;"",F386,"")</f>
        <v>Новый подраздел</v>
      </c>
      <c r="G397" s="2" t="str">
        <f>IF(G386&lt;&gt;"",G386,"")</f>
        <v>4.3  Осветительное оборудование</v>
      </c>
      <c r="H397" s="2">
        <v>0</v>
      </c>
      <c r="I397" s="2"/>
      <c r="J397" s="2"/>
      <c r="K397" s="2"/>
      <c r="L397" s="2"/>
      <c r="M397" s="2"/>
      <c r="N397" s="2"/>
      <c r="O397" s="2">
        <f t="shared" ref="O397:T397" si="372">ROUND(AB397,2)</f>
        <v>96829.55</v>
      </c>
      <c r="P397" s="2">
        <f t="shared" si="372"/>
        <v>449.18</v>
      </c>
      <c r="Q397" s="2">
        <f t="shared" si="372"/>
        <v>0</v>
      </c>
      <c r="R397" s="2">
        <f t="shared" si="372"/>
        <v>0</v>
      </c>
      <c r="S397" s="2">
        <f t="shared" si="372"/>
        <v>96380.37</v>
      </c>
      <c r="T397" s="2">
        <f t="shared" si="372"/>
        <v>0</v>
      </c>
      <c r="U397" s="2">
        <f>AH397</f>
        <v>171.22399999999999</v>
      </c>
      <c r="V397" s="2">
        <f>AI397</f>
        <v>0</v>
      </c>
      <c r="W397" s="2">
        <f>ROUND(AJ397,2)</f>
        <v>0</v>
      </c>
      <c r="X397" s="2">
        <f>ROUND(AK397,2)</f>
        <v>67466.259999999995</v>
      </c>
      <c r="Y397" s="2">
        <f>ROUND(AL397,2)</f>
        <v>9638.0400000000009</v>
      </c>
      <c r="Z397" s="2"/>
      <c r="AA397" s="2"/>
      <c r="AB397" s="2">
        <f>ROUND(SUMIF(AA390:AA395,"=1471988752",O390:O395),2)</f>
        <v>96829.55</v>
      </c>
      <c r="AC397" s="2">
        <f>ROUND(SUMIF(AA390:AA395,"=1471988752",P390:P395),2)</f>
        <v>449.18</v>
      </c>
      <c r="AD397" s="2">
        <f>ROUND(SUMIF(AA390:AA395,"=1471988752",Q390:Q395),2)</f>
        <v>0</v>
      </c>
      <c r="AE397" s="2">
        <f>ROUND(SUMIF(AA390:AA395,"=1471988752",R390:R395),2)</f>
        <v>0</v>
      </c>
      <c r="AF397" s="2">
        <f>ROUND(SUMIF(AA390:AA395,"=1471988752",S390:S395),2)</f>
        <v>96380.37</v>
      </c>
      <c r="AG397" s="2">
        <f>ROUND(SUMIF(AA390:AA395,"=1471988752",T390:T395),2)</f>
        <v>0</v>
      </c>
      <c r="AH397" s="2">
        <f>SUMIF(AA390:AA395,"=1471988752",U390:U395)</f>
        <v>171.22399999999999</v>
      </c>
      <c r="AI397" s="2">
        <f>SUMIF(AA390:AA395,"=1471988752",V390:V395)</f>
        <v>0</v>
      </c>
      <c r="AJ397" s="2">
        <f>ROUND(SUMIF(AA390:AA395,"=1471988752",W390:W395),2)</f>
        <v>0</v>
      </c>
      <c r="AK397" s="2">
        <f>ROUND(SUMIF(AA390:AA395,"=1471988752",X390:X395),2)</f>
        <v>67466.259999999995</v>
      </c>
      <c r="AL397" s="2">
        <f>ROUND(SUMIF(AA390:AA395,"=1471988752",Y390:Y395),2)</f>
        <v>9638.0400000000009</v>
      </c>
      <c r="AM397" s="2"/>
      <c r="AN397" s="2"/>
      <c r="AO397" s="2">
        <f t="shared" ref="AO397:BD397" si="373">ROUND(BX397,2)</f>
        <v>0</v>
      </c>
      <c r="AP397" s="2">
        <f t="shared" si="373"/>
        <v>0</v>
      </c>
      <c r="AQ397" s="2">
        <f t="shared" si="373"/>
        <v>0</v>
      </c>
      <c r="AR397" s="2">
        <f t="shared" si="373"/>
        <v>173933.85</v>
      </c>
      <c r="AS397" s="2">
        <f t="shared" si="373"/>
        <v>0</v>
      </c>
      <c r="AT397" s="2">
        <f t="shared" si="373"/>
        <v>0</v>
      </c>
      <c r="AU397" s="2">
        <f t="shared" si="373"/>
        <v>173933.85</v>
      </c>
      <c r="AV397" s="2">
        <f t="shared" si="373"/>
        <v>449.18</v>
      </c>
      <c r="AW397" s="2">
        <f t="shared" si="373"/>
        <v>449.18</v>
      </c>
      <c r="AX397" s="2">
        <f t="shared" si="373"/>
        <v>0</v>
      </c>
      <c r="AY397" s="2">
        <f t="shared" si="373"/>
        <v>449.18</v>
      </c>
      <c r="AZ397" s="2">
        <f t="shared" si="373"/>
        <v>0</v>
      </c>
      <c r="BA397" s="2">
        <f t="shared" si="373"/>
        <v>0</v>
      </c>
      <c r="BB397" s="2">
        <f t="shared" si="373"/>
        <v>0</v>
      </c>
      <c r="BC397" s="2">
        <f t="shared" si="373"/>
        <v>0</v>
      </c>
      <c r="BD397" s="2">
        <f t="shared" si="373"/>
        <v>0</v>
      </c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>
        <f>ROUND(SUMIF(AA390:AA395,"=1471988752",FQ390:FQ395),2)</f>
        <v>0</v>
      </c>
      <c r="BY397" s="2">
        <f>ROUND(SUMIF(AA390:AA395,"=1471988752",FR390:FR395),2)</f>
        <v>0</v>
      </c>
      <c r="BZ397" s="2">
        <f>ROUND(SUMIF(AA390:AA395,"=1471988752",GL390:GL395),2)</f>
        <v>0</v>
      </c>
      <c r="CA397" s="2">
        <f>ROUND(SUMIF(AA390:AA395,"=1471988752",GM390:GM395),2)</f>
        <v>173933.85</v>
      </c>
      <c r="CB397" s="2">
        <f>ROUND(SUMIF(AA390:AA395,"=1471988752",GN390:GN395),2)</f>
        <v>0</v>
      </c>
      <c r="CC397" s="2">
        <f>ROUND(SUMIF(AA390:AA395,"=1471988752",GO390:GO395),2)</f>
        <v>0</v>
      </c>
      <c r="CD397" s="2">
        <f>ROUND(SUMIF(AA390:AA395,"=1471988752",GP390:GP395),2)</f>
        <v>173933.85</v>
      </c>
      <c r="CE397" s="2">
        <f>AC397-BX397</f>
        <v>449.18</v>
      </c>
      <c r="CF397" s="2">
        <f>AC397-BY397</f>
        <v>449.18</v>
      </c>
      <c r="CG397" s="2">
        <f>BX397-BZ397</f>
        <v>0</v>
      </c>
      <c r="CH397" s="2">
        <f>AC397-BX397-BY397+BZ397</f>
        <v>449.18</v>
      </c>
      <c r="CI397" s="2">
        <f>BY397-BZ397</f>
        <v>0</v>
      </c>
      <c r="CJ397" s="2">
        <f>ROUND(SUMIF(AA390:AA395,"=1471988752",GX390:GX395),2)</f>
        <v>0</v>
      </c>
      <c r="CK397" s="2">
        <f>ROUND(SUMIF(AA390:AA395,"=1471988752",GY390:GY395),2)</f>
        <v>0</v>
      </c>
      <c r="CL397" s="2">
        <f>ROUND(SUMIF(AA390:AA395,"=1471988752",GZ390:GZ395),2)</f>
        <v>0</v>
      </c>
      <c r="CM397" s="2">
        <f>ROUND(SUMIF(AA390:AA395,"=1471988752",HD390:HD395),2)</f>
        <v>0</v>
      </c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3"/>
      <c r="DH397" s="3"/>
      <c r="DI397" s="3"/>
      <c r="DJ397" s="3"/>
      <c r="DK397" s="3"/>
      <c r="DL397" s="3"/>
      <c r="DM397" s="3"/>
      <c r="DN397" s="3"/>
      <c r="DO397" s="3"/>
      <c r="DP397" s="3"/>
      <c r="DQ397" s="3"/>
      <c r="DR397" s="3"/>
      <c r="DS397" s="3"/>
      <c r="DT397" s="3"/>
      <c r="DU397" s="3"/>
      <c r="DV397" s="3"/>
      <c r="DW397" s="3"/>
      <c r="DX397" s="3"/>
      <c r="DY397" s="3"/>
      <c r="DZ397" s="3"/>
      <c r="EA397" s="3"/>
      <c r="EB397" s="3"/>
      <c r="EC397" s="3"/>
      <c r="ED397" s="3"/>
      <c r="EE397" s="3"/>
      <c r="EF397" s="3"/>
      <c r="EG397" s="3"/>
      <c r="EH397" s="3"/>
      <c r="EI397" s="3"/>
      <c r="EJ397" s="3"/>
      <c r="EK397" s="3"/>
      <c r="EL397" s="3"/>
      <c r="EM397" s="3"/>
      <c r="EN397" s="3"/>
      <c r="EO397" s="3"/>
      <c r="EP397" s="3"/>
      <c r="EQ397" s="3"/>
      <c r="ER397" s="3"/>
      <c r="ES397" s="3"/>
      <c r="ET397" s="3"/>
      <c r="EU397" s="3"/>
      <c r="EV397" s="3"/>
      <c r="EW397" s="3"/>
      <c r="EX397" s="3"/>
      <c r="EY397" s="3"/>
      <c r="EZ397" s="3"/>
      <c r="FA397" s="3"/>
      <c r="FB397" s="3"/>
      <c r="FC397" s="3"/>
      <c r="FD397" s="3"/>
      <c r="FE397" s="3"/>
      <c r="FF397" s="3"/>
      <c r="FG397" s="3"/>
      <c r="FH397" s="3"/>
      <c r="FI397" s="3"/>
      <c r="FJ397" s="3"/>
      <c r="FK397" s="3"/>
      <c r="FL397" s="3"/>
      <c r="FM397" s="3"/>
      <c r="FN397" s="3"/>
      <c r="FO397" s="3"/>
      <c r="FP397" s="3"/>
      <c r="FQ397" s="3"/>
      <c r="FR397" s="3"/>
      <c r="FS397" s="3"/>
      <c r="FT397" s="3"/>
      <c r="FU397" s="3"/>
      <c r="FV397" s="3"/>
      <c r="FW397" s="3"/>
      <c r="FX397" s="3"/>
      <c r="FY397" s="3"/>
      <c r="FZ397" s="3"/>
      <c r="GA397" s="3"/>
      <c r="GB397" s="3"/>
      <c r="GC397" s="3"/>
      <c r="GD397" s="3"/>
      <c r="GE397" s="3"/>
      <c r="GF397" s="3"/>
      <c r="GG397" s="3"/>
      <c r="GH397" s="3"/>
      <c r="GI397" s="3"/>
      <c r="GJ397" s="3"/>
      <c r="GK397" s="3"/>
      <c r="GL397" s="3"/>
      <c r="GM397" s="3"/>
      <c r="GN397" s="3"/>
      <c r="GO397" s="3"/>
      <c r="GP397" s="3"/>
      <c r="GQ397" s="3"/>
      <c r="GR397" s="3"/>
      <c r="GS397" s="3"/>
      <c r="GT397" s="3"/>
      <c r="GU397" s="3"/>
      <c r="GV397" s="3"/>
      <c r="GW397" s="3"/>
      <c r="GX397" s="3">
        <v>0</v>
      </c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201</v>
      </c>
      <c r="F399" s="4">
        <f>ROUND(Source!O397,O399)</f>
        <v>96829.55</v>
      </c>
      <c r="G399" s="4" t="s">
        <v>45</v>
      </c>
      <c r="H399" s="4" t="s">
        <v>46</v>
      </c>
      <c r="I399" s="4"/>
      <c r="J399" s="4"/>
      <c r="K399" s="4">
        <v>201</v>
      </c>
      <c r="L399" s="4">
        <v>1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96829.55</v>
      </c>
      <c r="X399" s="4">
        <v>1</v>
      </c>
      <c r="Y399" s="4">
        <v>96829.55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202</v>
      </c>
      <c r="F400" s="4">
        <f>ROUND(Source!P397,O400)</f>
        <v>449.18</v>
      </c>
      <c r="G400" s="4" t="s">
        <v>47</v>
      </c>
      <c r="H400" s="4" t="s">
        <v>48</v>
      </c>
      <c r="I400" s="4"/>
      <c r="J400" s="4"/>
      <c r="K400" s="4">
        <v>202</v>
      </c>
      <c r="L400" s="4">
        <v>2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449.18</v>
      </c>
      <c r="X400" s="4">
        <v>1</v>
      </c>
      <c r="Y400" s="4">
        <v>449.18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222</v>
      </c>
      <c r="F401" s="4">
        <f>ROUND(Source!AO397,O401)</f>
        <v>0</v>
      </c>
      <c r="G401" s="4" t="s">
        <v>49</v>
      </c>
      <c r="H401" s="4" t="s">
        <v>50</v>
      </c>
      <c r="I401" s="4"/>
      <c r="J401" s="4"/>
      <c r="K401" s="4">
        <v>222</v>
      </c>
      <c r="L401" s="4">
        <v>3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225</v>
      </c>
      <c r="F402" s="4">
        <f>ROUND(Source!AV397,O402)</f>
        <v>449.18</v>
      </c>
      <c r="G402" s="4" t="s">
        <v>51</v>
      </c>
      <c r="H402" s="4" t="s">
        <v>52</v>
      </c>
      <c r="I402" s="4"/>
      <c r="J402" s="4"/>
      <c r="K402" s="4">
        <v>225</v>
      </c>
      <c r="L402" s="4">
        <v>4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449.18</v>
      </c>
      <c r="X402" s="4">
        <v>1</v>
      </c>
      <c r="Y402" s="4">
        <v>449.18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226</v>
      </c>
      <c r="F403" s="4">
        <f>ROUND(Source!AW397,O403)</f>
        <v>449.18</v>
      </c>
      <c r="G403" s="4" t="s">
        <v>53</v>
      </c>
      <c r="H403" s="4" t="s">
        <v>54</v>
      </c>
      <c r="I403" s="4"/>
      <c r="J403" s="4"/>
      <c r="K403" s="4">
        <v>226</v>
      </c>
      <c r="L403" s="4">
        <v>5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449.18</v>
      </c>
      <c r="X403" s="4">
        <v>1</v>
      </c>
      <c r="Y403" s="4">
        <v>449.18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227</v>
      </c>
      <c r="F404" s="4">
        <f>ROUND(Source!AX397,O404)</f>
        <v>0</v>
      </c>
      <c r="G404" s="4" t="s">
        <v>55</v>
      </c>
      <c r="H404" s="4" t="s">
        <v>56</v>
      </c>
      <c r="I404" s="4"/>
      <c r="J404" s="4"/>
      <c r="K404" s="4">
        <v>227</v>
      </c>
      <c r="L404" s="4">
        <v>6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228</v>
      </c>
      <c r="F405" s="4">
        <f>ROUND(Source!AY397,O405)</f>
        <v>449.18</v>
      </c>
      <c r="G405" s="4" t="s">
        <v>57</v>
      </c>
      <c r="H405" s="4" t="s">
        <v>58</v>
      </c>
      <c r="I405" s="4"/>
      <c r="J405" s="4"/>
      <c r="K405" s="4">
        <v>228</v>
      </c>
      <c r="L405" s="4">
        <v>7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449.18</v>
      </c>
      <c r="X405" s="4">
        <v>1</v>
      </c>
      <c r="Y405" s="4">
        <v>449.18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216</v>
      </c>
      <c r="F406" s="4">
        <f>ROUND(Source!AP397,O406)</f>
        <v>0</v>
      </c>
      <c r="G406" s="4" t="s">
        <v>59</v>
      </c>
      <c r="H406" s="4" t="s">
        <v>60</v>
      </c>
      <c r="I406" s="4"/>
      <c r="J406" s="4"/>
      <c r="K406" s="4">
        <v>216</v>
      </c>
      <c r="L406" s="4">
        <v>8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223</v>
      </c>
      <c r="F407" s="4">
        <f>ROUND(Source!AQ397,O407)</f>
        <v>0</v>
      </c>
      <c r="G407" s="4" t="s">
        <v>61</v>
      </c>
      <c r="H407" s="4" t="s">
        <v>62</v>
      </c>
      <c r="I407" s="4"/>
      <c r="J407" s="4"/>
      <c r="K407" s="4">
        <v>223</v>
      </c>
      <c r="L407" s="4">
        <v>9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229</v>
      </c>
      <c r="F408" s="4">
        <f>ROUND(Source!AZ397,O408)</f>
        <v>0</v>
      </c>
      <c r="G408" s="4" t="s">
        <v>63</v>
      </c>
      <c r="H408" s="4" t="s">
        <v>64</v>
      </c>
      <c r="I408" s="4"/>
      <c r="J408" s="4"/>
      <c r="K408" s="4">
        <v>229</v>
      </c>
      <c r="L408" s="4">
        <v>10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203</v>
      </c>
      <c r="F409" s="4">
        <f>ROUND(Source!Q397,O409)</f>
        <v>0</v>
      </c>
      <c r="G409" s="4" t="s">
        <v>65</v>
      </c>
      <c r="H409" s="4" t="s">
        <v>66</v>
      </c>
      <c r="I409" s="4"/>
      <c r="J409" s="4"/>
      <c r="K409" s="4">
        <v>203</v>
      </c>
      <c r="L409" s="4">
        <v>11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231</v>
      </c>
      <c r="F410" s="4">
        <f>ROUND(Source!BB397,O410)</f>
        <v>0</v>
      </c>
      <c r="G410" s="4" t="s">
        <v>67</v>
      </c>
      <c r="H410" s="4" t="s">
        <v>68</v>
      </c>
      <c r="I410" s="4"/>
      <c r="J410" s="4"/>
      <c r="K410" s="4">
        <v>231</v>
      </c>
      <c r="L410" s="4">
        <v>12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204</v>
      </c>
      <c r="F411" s="4">
        <f>ROUND(Source!R397,O411)</f>
        <v>0</v>
      </c>
      <c r="G411" s="4" t="s">
        <v>69</v>
      </c>
      <c r="H411" s="4" t="s">
        <v>70</v>
      </c>
      <c r="I411" s="4"/>
      <c r="J411" s="4"/>
      <c r="K411" s="4">
        <v>204</v>
      </c>
      <c r="L411" s="4">
        <v>13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205</v>
      </c>
      <c r="F412" s="4">
        <f>ROUND(Source!S397,O412)</f>
        <v>96380.37</v>
      </c>
      <c r="G412" s="4" t="s">
        <v>71</v>
      </c>
      <c r="H412" s="4" t="s">
        <v>72</v>
      </c>
      <c r="I412" s="4"/>
      <c r="J412" s="4"/>
      <c r="K412" s="4">
        <v>205</v>
      </c>
      <c r="L412" s="4">
        <v>14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96380.37</v>
      </c>
      <c r="X412" s="4">
        <v>1</v>
      </c>
      <c r="Y412" s="4">
        <v>96380.37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232</v>
      </c>
      <c r="F413" s="4">
        <f>ROUND(Source!BC397,O413)</f>
        <v>0</v>
      </c>
      <c r="G413" s="4" t="s">
        <v>73</v>
      </c>
      <c r="H413" s="4" t="s">
        <v>74</v>
      </c>
      <c r="I413" s="4"/>
      <c r="J413" s="4"/>
      <c r="K413" s="4">
        <v>232</v>
      </c>
      <c r="L413" s="4">
        <v>15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214</v>
      </c>
      <c r="F414" s="4">
        <f>ROUND(Source!AS397,O414)</f>
        <v>0</v>
      </c>
      <c r="G414" s="4" t="s">
        <v>75</v>
      </c>
      <c r="H414" s="4" t="s">
        <v>76</v>
      </c>
      <c r="I414" s="4"/>
      <c r="J414" s="4"/>
      <c r="K414" s="4">
        <v>214</v>
      </c>
      <c r="L414" s="4">
        <v>16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215</v>
      </c>
      <c r="F415" s="4">
        <f>ROUND(Source!AT397,O415)</f>
        <v>0</v>
      </c>
      <c r="G415" s="4" t="s">
        <v>77</v>
      </c>
      <c r="H415" s="4" t="s">
        <v>78</v>
      </c>
      <c r="I415" s="4"/>
      <c r="J415" s="4"/>
      <c r="K415" s="4">
        <v>215</v>
      </c>
      <c r="L415" s="4">
        <v>17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217</v>
      </c>
      <c r="F416" s="4">
        <f>ROUND(Source!AU397,O416)</f>
        <v>173933.85</v>
      </c>
      <c r="G416" s="4" t="s">
        <v>79</v>
      </c>
      <c r="H416" s="4" t="s">
        <v>80</v>
      </c>
      <c r="I416" s="4"/>
      <c r="J416" s="4"/>
      <c r="K416" s="4">
        <v>217</v>
      </c>
      <c r="L416" s="4">
        <v>18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173933.85</v>
      </c>
      <c r="X416" s="4">
        <v>1</v>
      </c>
      <c r="Y416" s="4">
        <v>173933.85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230</v>
      </c>
      <c r="F417" s="4">
        <f>ROUND(Source!BA397,O417)</f>
        <v>0</v>
      </c>
      <c r="G417" s="4" t="s">
        <v>81</v>
      </c>
      <c r="H417" s="4" t="s">
        <v>82</v>
      </c>
      <c r="I417" s="4"/>
      <c r="J417" s="4"/>
      <c r="K417" s="4">
        <v>230</v>
      </c>
      <c r="L417" s="4">
        <v>19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206</v>
      </c>
      <c r="F418" s="4">
        <f>ROUND(Source!T397,O418)</f>
        <v>0</v>
      </c>
      <c r="G418" s="4" t="s">
        <v>83</v>
      </c>
      <c r="H418" s="4" t="s">
        <v>84</v>
      </c>
      <c r="I418" s="4"/>
      <c r="J418" s="4"/>
      <c r="K418" s="4">
        <v>206</v>
      </c>
      <c r="L418" s="4">
        <v>20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207</v>
      </c>
      <c r="F419" s="4">
        <f>Source!U397</f>
        <v>171.22399999999999</v>
      </c>
      <c r="G419" s="4" t="s">
        <v>85</v>
      </c>
      <c r="H419" s="4" t="s">
        <v>86</v>
      </c>
      <c r="I419" s="4"/>
      <c r="J419" s="4"/>
      <c r="K419" s="4">
        <v>207</v>
      </c>
      <c r="L419" s="4">
        <v>21</v>
      </c>
      <c r="M419" s="4">
        <v>3</v>
      </c>
      <c r="N419" s="4" t="s">
        <v>3</v>
      </c>
      <c r="O419" s="4">
        <v>-1</v>
      </c>
      <c r="P419" s="4"/>
      <c r="Q419" s="4"/>
      <c r="R419" s="4"/>
      <c r="S419" s="4"/>
      <c r="T419" s="4"/>
      <c r="U419" s="4"/>
      <c r="V419" s="4"/>
      <c r="W419" s="4">
        <v>171.22399999999999</v>
      </c>
      <c r="X419" s="4">
        <v>1</v>
      </c>
      <c r="Y419" s="4">
        <v>171.22399999999999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208</v>
      </c>
      <c r="F420" s="4">
        <f>Source!V397</f>
        <v>0</v>
      </c>
      <c r="G420" s="4" t="s">
        <v>87</v>
      </c>
      <c r="H420" s="4" t="s">
        <v>88</v>
      </c>
      <c r="I420" s="4"/>
      <c r="J420" s="4"/>
      <c r="K420" s="4">
        <v>208</v>
      </c>
      <c r="L420" s="4">
        <v>22</v>
      </c>
      <c r="M420" s="4">
        <v>3</v>
      </c>
      <c r="N420" s="4" t="s">
        <v>3</v>
      </c>
      <c r="O420" s="4">
        <v>-1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209</v>
      </c>
      <c r="F421" s="4">
        <f>ROUND(Source!W397,O421)</f>
        <v>0</v>
      </c>
      <c r="G421" s="4" t="s">
        <v>89</v>
      </c>
      <c r="H421" s="4" t="s">
        <v>90</v>
      </c>
      <c r="I421" s="4"/>
      <c r="J421" s="4"/>
      <c r="K421" s="4">
        <v>209</v>
      </c>
      <c r="L421" s="4">
        <v>23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233</v>
      </c>
      <c r="F422" s="4">
        <f>ROUND(Source!BD397,O422)</f>
        <v>0</v>
      </c>
      <c r="G422" s="4" t="s">
        <v>91</v>
      </c>
      <c r="H422" s="4" t="s">
        <v>92</v>
      </c>
      <c r="I422" s="4"/>
      <c r="J422" s="4"/>
      <c r="K422" s="4">
        <v>233</v>
      </c>
      <c r="L422" s="4">
        <v>24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210</v>
      </c>
      <c r="F423" s="4">
        <f>ROUND(Source!X397,O423)</f>
        <v>67466.259999999995</v>
      </c>
      <c r="G423" s="4" t="s">
        <v>93</v>
      </c>
      <c r="H423" s="4" t="s">
        <v>94</v>
      </c>
      <c r="I423" s="4"/>
      <c r="J423" s="4"/>
      <c r="K423" s="4">
        <v>210</v>
      </c>
      <c r="L423" s="4">
        <v>25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67466.259999999995</v>
      </c>
      <c r="X423" s="4">
        <v>1</v>
      </c>
      <c r="Y423" s="4">
        <v>67466.259999999995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211</v>
      </c>
      <c r="F424" s="4">
        <f>ROUND(Source!Y397,O424)</f>
        <v>9638.0400000000009</v>
      </c>
      <c r="G424" s="4" t="s">
        <v>95</v>
      </c>
      <c r="H424" s="4" t="s">
        <v>96</v>
      </c>
      <c r="I424" s="4"/>
      <c r="J424" s="4"/>
      <c r="K424" s="4">
        <v>211</v>
      </c>
      <c r="L424" s="4">
        <v>26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9638.0400000000009</v>
      </c>
      <c r="X424" s="4">
        <v>1</v>
      </c>
      <c r="Y424" s="4">
        <v>9638.0400000000009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224</v>
      </c>
      <c r="F425" s="4">
        <f>ROUND(Source!AR397,O425)</f>
        <v>173933.85</v>
      </c>
      <c r="G425" s="4" t="s">
        <v>97</v>
      </c>
      <c r="H425" s="4" t="s">
        <v>98</v>
      </c>
      <c r="I425" s="4"/>
      <c r="J425" s="4"/>
      <c r="K425" s="4">
        <v>224</v>
      </c>
      <c r="L425" s="4">
        <v>27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173933.85</v>
      </c>
      <c r="X425" s="4">
        <v>1</v>
      </c>
      <c r="Y425" s="4">
        <v>173933.85</v>
      </c>
      <c r="Z425" s="4"/>
      <c r="AA425" s="4"/>
      <c r="AB425" s="4"/>
    </row>
    <row r="427" spans="1:245" x14ac:dyDescent="0.2">
      <c r="A427" s="1">
        <v>5</v>
      </c>
      <c r="B427" s="1">
        <v>1</v>
      </c>
      <c r="C427" s="1"/>
      <c r="D427" s="1">
        <f>ROW(A451)</f>
        <v>451</v>
      </c>
      <c r="E427" s="1"/>
      <c r="F427" s="1" t="s">
        <v>100</v>
      </c>
      <c r="G427" s="1" t="s">
        <v>414</v>
      </c>
      <c r="H427" s="1" t="s">
        <v>3</v>
      </c>
      <c r="I427" s="1">
        <v>0</v>
      </c>
      <c r="J427" s="1"/>
      <c r="K427" s="1">
        <v>-1</v>
      </c>
      <c r="L427" s="1"/>
      <c r="M427" s="1" t="s">
        <v>3</v>
      </c>
      <c r="N427" s="1"/>
      <c r="O427" s="1"/>
      <c r="P427" s="1"/>
      <c r="Q427" s="1"/>
      <c r="R427" s="1"/>
      <c r="S427" s="1">
        <v>0</v>
      </c>
      <c r="T427" s="1"/>
      <c r="U427" s="1" t="s">
        <v>3</v>
      </c>
      <c r="V427" s="1">
        <v>0</v>
      </c>
      <c r="W427" s="1"/>
      <c r="X427" s="1"/>
      <c r="Y427" s="1"/>
      <c r="Z427" s="1"/>
      <c r="AA427" s="1"/>
      <c r="AB427" s="1" t="s">
        <v>3</v>
      </c>
      <c r="AC427" s="1" t="s">
        <v>3</v>
      </c>
      <c r="AD427" s="1" t="s">
        <v>3</v>
      </c>
      <c r="AE427" s="1" t="s">
        <v>3</v>
      </c>
      <c r="AF427" s="1" t="s">
        <v>3</v>
      </c>
      <c r="AG427" s="1" t="s">
        <v>3</v>
      </c>
      <c r="AH427" s="1"/>
      <c r="AI427" s="1"/>
      <c r="AJ427" s="1"/>
      <c r="AK427" s="1"/>
      <c r="AL427" s="1"/>
      <c r="AM427" s="1"/>
      <c r="AN427" s="1"/>
      <c r="AO427" s="1"/>
      <c r="AP427" s="1" t="s">
        <v>3</v>
      </c>
      <c r="AQ427" s="1" t="s">
        <v>3</v>
      </c>
      <c r="AR427" s="1" t="s">
        <v>3</v>
      </c>
      <c r="AS427" s="1"/>
      <c r="AT427" s="1"/>
      <c r="AU427" s="1"/>
      <c r="AV427" s="1"/>
      <c r="AW427" s="1"/>
      <c r="AX427" s="1"/>
      <c r="AY427" s="1"/>
      <c r="AZ427" s="1" t="s">
        <v>3</v>
      </c>
      <c r="BA427" s="1"/>
      <c r="BB427" s="1" t="s">
        <v>3</v>
      </c>
      <c r="BC427" s="1" t="s">
        <v>3</v>
      </c>
      <c r="BD427" s="1" t="s">
        <v>3</v>
      </c>
      <c r="BE427" s="1" t="s">
        <v>3</v>
      </c>
      <c r="BF427" s="1" t="s">
        <v>3</v>
      </c>
      <c r="BG427" s="1" t="s">
        <v>3</v>
      </c>
      <c r="BH427" s="1" t="s">
        <v>3</v>
      </c>
      <c r="BI427" s="1" t="s">
        <v>3</v>
      </c>
      <c r="BJ427" s="1" t="s">
        <v>3</v>
      </c>
      <c r="BK427" s="1" t="s">
        <v>3</v>
      </c>
      <c r="BL427" s="1" t="s">
        <v>3</v>
      </c>
      <c r="BM427" s="1" t="s">
        <v>3</v>
      </c>
      <c r="BN427" s="1" t="s">
        <v>3</v>
      </c>
      <c r="BO427" s="1" t="s">
        <v>3</v>
      </c>
      <c r="BP427" s="1" t="s">
        <v>3</v>
      </c>
      <c r="BQ427" s="1"/>
      <c r="BR427" s="1"/>
      <c r="BS427" s="1"/>
      <c r="BT427" s="1"/>
      <c r="BU427" s="1"/>
      <c r="BV427" s="1"/>
      <c r="BW427" s="1"/>
      <c r="BX427" s="1">
        <v>0</v>
      </c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>
        <v>0</v>
      </c>
    </row>
    <row r="429" spans="1:245" x14ac:dyDescent="0.2">
      <c r="A429" s="2">
        <v>52</v>
      </c>
      <c r="B429" s="2">
        <f t="shared" ref="B429:G429" si="374">B451</f>
        <v>1</v>
      </c>
      <c r="C429" s="2">
        <f t="shared" si="374"/>
        <v>5</v>
      </c>
      <c r="D429" s="2">
        <f t="shared" si="374"/>
        <v>427</v>
      </c>
      <c r="E429" s="2">
        <f t="shared" si="374"/>
        <v>0</v>
      </c>
      <c r="F429" s="2" t="str">
        <f t="shared" si="374"/>
        <v>Новый подраздел</v>
      </c>
      <c r="G429" s="2" t="str">
        <f t="shared" si="374"/>
        <v>4.4  Кабельно-проводниковая продукция</v>
      </c>
      <c r="H429" s="2"/>
      <c r="I429" s="2"/>
      <c r="J429" s="2"/>
      <c r="K429" s="2"/>
      <c r="L429" s="2"/>
      <c r="M429" s="2"/>
      <c r="N429" s="2"/>
      <c r="O429" s="2">
        <f t="shared" ref="O429:AT429" si="375">O451</f>
        <v>42926.6</v>
      </c>
      <c r="P429" s="2">
        <f t="shared" si="375"/>
        <v>213.76</v>
      </c>
      <c r="Q429" s="2">
        <f t="shared" si="375"/>
        <v>0</v>
      </c>
      <c r="R429" s="2">
        <f t="shared" si="375"/>
        <v>0</v>
      </c>
      <c r="S429" s="2">
        <f t="shared" si="375"/>
        <v>42712.84</v>
      </c>
      <c r="T429" s="2">
        <f t="shared" si="375"/>
        <v>0</v>
      </c>
      <c r="U429" s="2">
        <f t="shared" si="375"/>
        <v>75.409080000000017</v>
      </c>
      <c r="V429" s="2">
        <f t="shared" si="375"/>
        <v>0</v>
      </c>
      <c r="W429" s="2">
        <f t="shared" si="375"/>
        <v>0</v>
      </c>
      <c r="X429" s="2">
        <f t="shared" si="375"/>
        <v>29898.98</v>
      </c>
      <c r="Y429" s="2">
        <f t="shared" si="375"/>
        <v>4271.29</v>
      </c>
      <c r="Z429" s="2">
        <f t="shared" si="375"/>
        <v>0</v>
      </c>
      <c r="AA429" s="2">
        <f t="shared" si="375"/>
        <v>0</v>
      </c>
      <c r="AB429" s="2">
        <f t="shared" si="375"/>
        <v>42926.6</v>
      </c>
      <c r="AC429" s="2">
        <f t="shared" si="375"/>
        <v>213.76</v>
      </c>
      <c r="AD429" s="2">
        <f t="shared" si="375"/>
        <v>0</v>
      </c>
      <c r="AE429" s="2">
        <f t="shared" si="375"/>
        <v>0</v>
      </c>
      <c r="AF429" s="2">
        <f t="shared" si="375"/>
        <v>42712.84</v>
      </c>
      <c r="AG429" s="2">
        <f t="shared" si="375"/>
        <v>0</v>
      </c>
      <c r="AH429" s="2">
        <f t="shared" si="375"/>
        <v>75.409080000000017</v>
      </c>
      <c r="AI429" s="2">
        <f t="shared" si="375"/>
        <v>0</v>
      </c>
      <c r="AJ429" s="2">
        <f t="shared" si="375"/>
        <v>0</v>
      </c>
      <c r="AK429" s="2">
        <f t="shared" si="375"/>
        <v>29898.98</v>
      </c>
      <c r="AL429" s="2">
        <f t="shared" si="375"/>
        <v>4271.29</v>
      </c>
      <c r="AM429" s="2">
        <f t="shared" si="375"/>
        <v>0</v>
      </c>
      <c r="AN429" s="2">
        <f t="shared" si="375"/>
        <v>0</v>
      </c>
      <c r="AO429" s="2">
        <f t="shared" si="375"/>
        <v>0</v>
      </c>
      <c r="AP429" s="2">
        <f t="shared" si="375"/>
        <v>0</v>
      </c>
      <c r="AQ429" s="2">
        <f t="shared" si="375"/>
        <v>0</v>
      </c>
      <c r="AR429" s="2">
        <f t="shared" si="375"/>
        <v>77096.87</v>
      </c>
      <c r="AS429" s="2">
        <f t="shared" si="375"/>
        <v>0</v>
      </c>
      <c r="AT429" s="2">
        <f t="shared" si="375"/>
        <v>0</v>
      </c>
      <c r="AU429" s="2">
        <f t="shared" ref="AU429:BZ429" si="376">AU451</f>
        <v>77096.87</v>
      </c>
      <c r="AV429" s="2">
        <f t="shared" si="376"/>
        <v>213.76</v>
      </c>
      <c r="AW429" s="2">
        <f t="shared" si="376"/>
        <v>213.76</v>
      </c>
      <c r="AX429" s="2">
        <f t="shared" si="376"/>
        <v>0</v>
      </c>
      <c r="AY429" s="2">
        <f t="shared" si="376"/>
        <v>213.76</v>
      </c>
      <c r="AZ429" s="2">
        <f t="shared" si="376"/>
        <v>0</v>
      </c>
      <c r="BA429" s="2">
        <f t="shared" si="376"/>
        <v>0</v>
      </c>
      <c r="BB429" s="2">
        <f t="shared" si="376"/>
        <v>0</v>
      </c>
      <c r="BC429" s="2">
        <f t="shared" si="376"/>
        <v>0</v>
      </c>
      <c r="BD429" s="2">
        <f t="shared" si="376"/>
        <v>0</v>
      </c>
      <c r="BE429" s="2">
        <f t="shared" si="376"/>
        <v>0</v>
      </c>
      <c r="BF429" s="2">
        <f t="shared" si="376"/>
        <v>0</v>
      </c>
      <c r="BG429" s="2">
        <f t="shared" si="376"/>
        <v>0</v>
      </c>
      <c r="BH429" s="2">
        <f t="shared" si="376"/>
        <v>0</v>
      </c>
      <c r="BI429" s="2">
        <f t="shared" si="376"/>
        <v>0</v>
      </c>
      <c r="BJ429" s="2">
        <f t="shared" si="376"/>
        <v>0</v>
      </c>
      <c r="BK429" s="2">
        <f t="shared" si="376"/>
        <v>0</v>
      </c>
      <c r="BL429" s="2">
        <f t="shared" si="376"/>
        <v>0</v>
      </c>
      <c r="BM429" s="2">
        <f t="shared" si="376"/>
        <v>0</v>
      </c>
      <c r="BN429" s="2">
        <f t="shared" si="376"/>
        <v>0</v>
      </c>
      <c r="BO429" s="2">
        <f t="shared" si="376"/>
        <v>0</v>
      </c>
      <c r="BP429" s="2">
        <f t="shared" si="376"/>
        <v>0</v>
      </c>
      <c r="BQ429" s="2">
        <f t="shared" si="376"/>
        <v>0</v>
      </c>
      <c r="BR429" s="2">
        <f t="shared" si="376"/>
        <v>0</v>
      </c>
      <c r="BS429" s="2">
        <f t="shared" si="376"/>
        <v>0</v>
      </c>
      <c r="BT429" s="2">
        <f t="shared" si="376"/>
        <v>0</v>
      </c>
      <c r="BU429" s="2">
        <f t="shared" si="376"/>
        <v>0</v>
      </c>
      <c r="BV429" s="2">
        <f t="shared" si="376"/>
        <v>0</v>
      </c>
      <c r="BW429" s="2">
        <f t="shared" si="376"/>
        <v>0</v>
      </c>
      <c r="BX429" s="2">
        <f t="shared" si="376"/>
        <v>0</v>
      </c>
      <c r="BY429" s="2">
        <f t="shared" si="376"/>
        <v>0</v>
      </c>
      <c r="BZ429" s="2">
        <f t="shared" si="376"/>
        <v>0</v>
      </c>
      <c r="CA429" s="2">
        <f t="shared" ref="CA429:DF429" si="377">CA451</f>
        <v>77096.87</v>
      </c>
      <c r="CB429" s="2">
        <f t="shared" si="377"/>
        <v>0</v>
      </c>
      <c r="CC429" s="2">
        <f t="shared" si="377"/>
        <v>0</v>
      </c>
      <c r="CD429" s="2">
        <f t="shared" si="377"/>
        <v>77096.87</v>
      </c>
      <c r="CE429" s="2">
        <f t="shared" si="377"/>
        <v>213.76</v>
      </c>
      <c r="CF429" s="2">
        <f t="shared" si="377"/>
        <v>213.76</v>
      </c>
      <c r="CG429" s="2">
        <f t="shared" si="377"/>
        <v>0</v>
      </c>
      <c r="CH429" s="2">
        <f t="shared" si="377"/>
        <v>213.76</v>
      </c>
      <c r="CI429" s="2">
        <f t="shared" si="377"/>
        <v>0</v>
      </c>
      <c r="CJ429" s="2">
        <f t="shared" si="377"/>
        <v>0</v>
      </c>
      <c r="CK429" s="2">
        <f t="shared" si="377"/>
        <v>0</v>
      </c>
      <c r="CL429" s="2">
        <f t="shared" si="377"/>
        <v>0</v>
      </c>
      <c r="CM429" s="2">
        <f t="shared" si="377"/>
        <v>0</v>
      </c>
      <c r="CN429" s="2">
        <f t="shared" si="377"/>
        <v>0</v>
      </c>
      <c r="CO429" s="2">
        <f t="shared" si="377"/>
        <v>0</v>
      </c>
      <c r="CP429" s="2">
        <f t="shared" si="377"/>
        <v>0</v>
      </c>
      <c r="CQ429" s="2">
        <f t="shared" si="377"/>
        <v>0</v>
      </c>
      <c r="CR429" s="2">
        <f t="shared" si="377"/>
        <v>0</v>
      </c>
      <c r="CS429" s="2">
        <f t="shared" si="377"/>
        <v>0</v>
      </c>
      <c r="CT429" s="2">
        <f t="shared" si="377"/>
        <v>0</v>
      </c>
      <c r="CU429" s="2">
        <f t="shared" si="377"/>
        <v>0</v>
      </c>
      <c r="CV429" s="2">
        <f t="shared" si="377"/>
        <v>0</v>
      </c>
      <c r="CW429" s="2">
        <f t="shared" si="377"/>
        <v>0</v>
      </c>
      <c r="CX429" s="2">
        <f t="shared" si="377"/>
        <v>0</v>
      </c>
      <c r="CY429" s="2">
        <f t="shared" si="377"/>
        <v>0</v>
      </c>
      <c r="CZ429" s="2">
        <f t="shared" si="377"/>
        <v>0</v>
      </c>
      <c r="DA429" s="2">
        <f t="shared" si="377"/>
        <v>0</v>
      </c>
      <c r="DB429" s="2">
        <f t="shared" si="377"/>
        <v>0</v>
      </c>
      <c r="DC429" s="2">
        <f t="shared" si="377"/>
        <v>0</v>
      </c>
      <c r="DD429" s="2">
        <f t="shared" si="377"/>
        <v>0</v>
      </c>
      <c r="DE429" s="2">
        <f t="shared" si="377"/>
        <v>0</v>
      </c>
      <c r="DF429" s="2">
        <f t="shared" si="377"/>
        <v>0</v>
      </c>
      <c r="DG429" s="3">
        <f t="shared" ref="DG429:EL429" si="378">DG451</f>
        <v>0</v>
      </c>
      <c r="DH429" s="3">
        <f t="shared" si="378"/>
        <v>0</v>
      </c>
      <c r="DI429" s="3">
        <f t="shared" si="378"/>
        <v>0</v>
      </c>
      <c r="DJ429" s="3">
        <f t="shared" si="378"/>
        <v>0</v>
      </c>
      <c r="DK429" s="3">
        <f t="shared" si="378"/>
        <v>0</v>
      </c>
      <c r="DL429" s="3">
        <f t="shared" si="378"/>
        <v>0</v>
      </c>
      <c r="DM429" s="3">
        <f t="shared" si="378"/>
        <v>0</v>
      </c>
      <c r="DN429" s="3">
        <f t="shared" si="378"/>
        <v>0</v>
      </c>
      <c r="DO429" s="3">
        <f t="shared" si="378"/>
        <v>0</v>
      </c>
      <c r="DP429" s="3">
        <f t="shared" si="378"/>
        <v>0</v>
      </c>
      <c r="DQ429" s="3">
        <f t="shared" si="378"/>
        <v>0</v>
      </c>
      <c r="DR429" s="3">
        <f t="shared" si="378"/>
        <v>0</v>
      </c>
      <c r="DS429" s="3">
        <f t="shared" si="378"/>
        <v>0</v>
      </c>
      <c r="DT429" s="3">
        <f t="shared" si="378"/>
        <v>0</v>
      </c>
      <c r="DU429" s="3">
        <f t="shared" si="378"/>
        <v>0</v>
      </c>
      <c r="DV429" s="3">
        <f t="shared" si="378"/>
        <v>0</v>
      </c>
      <c r="DW429" s="3">
        <f t="shared" si="378"/>
        <v>0</v>
      </c>
      <c r="DX429" s="3">
        <f t="shared" si="378"/>
        <v>0</v>
      </c>
      <c r="DY429" s="3">
        <f t="shared" si="378"/>
        <v>0</v>
      </c>
      <c r="DZ429" s="3">
        <f t="shared" si="378"/>
        <v>0</v>
      </c>
      <c r="EA429" s="3">
        <f t="shared" si="378"/>
        <v>0</v>
      </c>
      <c r="EB429" s="3">
        <f t="shared" si="378"/>
        <v>0</v>
      </c>
      <c r="EC429" s="3">
        <f t="shared" si="378"/>
        <v>0</v>
      </c>
      <c r="ED429" s="3">
        <f t="shared" si="378"/>
        <v>0</v>
      </c>
      <c r="EE429" s="3">
        <f t="shared" si="378"/>
        <v>0</v>
      </c>
      <c r="EF429" s="3">
        <f t="shared" si="378"/>
        <v>0</v>
      </c>
      <c r="EG429" s="3">
        <f t="shared" si="378"/>
        <v>0</v>
      </c>
      <c r="EH429" s="3">
        <f t="shared" si="378"/>
        <v>0</v>
      </c>
      <c r="EI429" s="3">
        <f t="shared" si="378"/>
        <v>0</v>
      </c>
      <c r="EJ429" s="3">
        <f t="shared" si="378"/>
        <v>0</v>
      </c>
      <c r="EK429" s="3">
        <f t="shared" si="378"/>
        <v>0</v>
      </c>
      <c r="EL429" s="3">
        <f t="shared" si="378"/>
        <v>0</v>
      </c>
      <c r="EM429" s="3">
        <f t="shared" ref="EM429:FR429" si="379">EM451</f>
        <v>0</v>
      </c>
      <c r="EN429" s="3">
        <f t="shared" si="379"/>
        <v>0</v>
      </c>
      <c r="EO429" s="3">
        <f t="shared" si="379"/>
        <v>0</v>
      </c>
      <c r="EP429" s="3">
        <f t="shared" si="379"/>
        <v>0</v>
      </c>
      <c r="EQ429" s="3">
        <f t="shared" si="379"/>
        <v>0</v>
      </c>
      <c r="ER429" s="3">
        <f t="shared" si="379"/>
        <v>0</v>
      </c>
      <c r="ES429" s="3">
        <f t="shared" si="379"/>
        <v>0</v>
      </c>
      <c r="ET429" s="3">
        <f t="shared" si="379"/>
        <v>0</v>
      </c>
      <c r="EU429" s="3">
        <f t="shared" si="379"/>
        <v>0</v>
      </c>
      <c r="EV429" s="3">
        <f t="shared" si="379"/>
        <v>0</v>
      </c>
      <c r="EW429" s="3">
        <f t="shared" si="379"/>
        <v>0</v>
      </c>
      <c r="EX429" s="3">
        <f t="shared" si="379"/>
        <v>0</v>
      </c>
      <c r="EY429" s="3">
        <f t="shared" si="379"/>
        <v>0</v>
      </c>
      <c r="EZ429" s="3">
        <f t="shared" si="379"/>
        <v>0</v>
      </c>
      <c r="FA429" s="3">
        <f t="shared" si="379"/>
        <v>0</v>
      </c>
      <c r="FB429" s="3">
        <f t="shared" si="379"/>
        <v>0</v>
      </c>
      <c r="FC429" s="3">
        <f t="shared" si="379"/>
        <v>0</v>
      </c>
      <c r="FD429" s="3">
        <f t="shared" si="379"/>
        <v>0</v>
      </c>
      <c r="FE429" s="3">
        <f t="shared" si="379"/>
        <v>0</v>
      </c>
      <c r="FF429" s="3">
        <f t="shared" si="379"/>
        <v>0</v>
      </c>
      <c r="FG429" s="3">
        <f t="shared" si="379"/>
        <v>0</v>
      </c>
      <c r="FH429" s="3">
        <f t="shared" si="379"/>
        <v>0</v>
      </c>
      <c r="FI429" s="3">
        <f t="shared" si="379"/>
        <v>0</v>
      </c>
      <c r="FJ429" s="3">
        <f t="shared" si="379"/>
        <v>0</v>
      </c>
      <c r="FK429" s="3">
        <f t="shared" si="379"/>
        <v>0</v>
      </c>
      <c r="FL429" s="3">
        <f t="shared" si="379"/>
        <v>0</v>
      </c>
      <c r="FM429" s="3">
        <f t="shared" si="379"/>
        <v>0</v>
      </c>
      <c r="FN429" s="3">
        <f t="shared" si="379"/>
        <v>0</v>
      </c>
      <c r="FO429" s="3">
        <f t="shared" si="379"/>
        <v>0</v>
      </c>
      <c r="FP429" s="3">
        <f t="shared" si="379"/>
        <v>0</v>
      </c>
      <c r="FQ429" s="3">
        <f t="shared" si="379"/>
        <v>0</v>
      </c>
      <c r="FR429" s="3">
        <f t="shared" si="379"/>
        <v>0</v>
      </c>
      <c r="FS429" s="3">
        <f t="shared" ref="FS429:GX429" si="380">FS451</f>
        <v>0</v>
      </c>
      <c r="FT429" s="3">
        <f t="shared" si="380"/>
        <v>0</v>
      </c>
      <c r="FU429" s="3">
        <f t="shared" si="380"/>
        <v>0</v>
      </c>
      <c r="FV429" s="3">
        <f t="shared" si="380"/>
        <v>0</v>
      </c>
      <c r="FW429" s="3">
        <f t="shared" si="380"/>
        <v>0</v>
      </c>
      <c r="FX429" s="3">
        <f t="shared" si="380"/>
        <v>0</v>
      </c>
      <c r="FY429" s="3">
        <f t="shared" si="380"/>
        <v>0</v>
      </c>
      <c r="FZ429" s="3">
        <f t="shared" si="380"/>
        <v>0</v>
      </c>
      <c r="GA429" s="3">
        <f t="shared" si="380"/>
        <v>0</v>
      </c>
      <c r="GB429" s="3">
        <f t="shared" si="380"/>
        <v>0</v>
      </c>
      <c r="GC429" s="3">
        <f t="shared" si="380"/>
        <v>0</v>
      </c>
      <c r="GD429" s="3">
        <f t="shared" si="380"/>
        <v>0</v>
      </c>
      <c r="GE429" s="3">
        <f t="shared" si="380"/>
        <v>0</v>
      </c>
      <c r="GF429" s="3">
        <f t="shared" si="380"/>
        <v>0</v>
      </c>
      <c r="GG429" s="3">
        <f t="shared" si="380"/>
        <v>0</v>
      </c>
      <c r="GH429" s="3">
        <f t="shared" si="380"/>
        <v>0</v>
      </c>
      <c r="GI429" s="3">
        <f t="shared" si="380"/>
        <v>0</v>
      </c>
      <c r="GJ429" s="3">
        <f t="shared" si="380"/>
        <v>0</v>
      </c>
      <c r="GK429" s="3">
        <f t="shared" si="380"/>
        <v>0</v>
      </c>
      <c r="GL429" s="3">
        <f t="shared" si="380"/>
        <v>0</v>
      </c>
      <c r="GM429" s="3">
        <f t="shared" si="380"/>
        <v>0</v>
      </c>
      <c r="GN429" s="3">
        <f t="shared" si="380"/>
        <v>0</v>
      </c>
      <c r="GO429" s="3">
        <f t="shared" si="380"/>
        <v>0</v>
      </c>
      <c r="GP429" s="3">
        <f t="shared" si="380"/>
        <v>0</v>
      </c>
      <c r="GQ429" s="3">
        <f t="shared" si="380"/>
        <v>0</v>
      </c>
      <c r="GR429" s="3">
        <f t="shared" si="380"/>
        <v>0</v>
      </c>
      <c r="GS429" s="3">
        <f t="shared" si="380"/>
        <v>0</v>
      </c>
      <c r="GT429" s="3">
        <f t="shared" si="380"/>
        <v>0</v>
      </c>
      <c r="GU429" s="3">
        <f t="shared" si="380"/>
        <v>0</v>
      </c>
      <c r="GV429" s="3">
        <f t="shared" si="380"/>
        <v>0</v>
      </c>
      <c r="GW429" s="3">
        <f t="shared" si="380"/>
        <v>0</v>
      </c>
      <c r="GX429" s="3">
        <f t="shared" si="380"/>
        <v>0</v>
      </c>
    </row>
    <row r="431" spans="1:245" x14ac:dyDescent="0.2">
      <c r="A431">
        <v>17</v>
      </c>
      <c r="B431">
        <v>1</v>
      </c>
      <c r="D431">
        <f>ROW(EtalonRes!A314)</f>
        <v>314</v>
      </c>
      <c r="E431" t="s">
        <v>415</v>
      </c>
      <c r="F431" t="s">
        <v>416</v>
      </c>
      <c r="G431" t="s">
        <v>417</v>
      </c>
      <c r="H431" t="s">
        <v>17</v>
      </c>
      <c r="I431">
        <f>ROUND(ROUND((1000+10+80+110+140+170+200+230)*0.2*0.1/100,9),9)</f>
        <v>0.38800000000000001</v>
      </c>
      <c r="J431">
        <v>0</v>
      </c>
      <c r="K431">
        <f>ROUND(ROUND((1000+10+80+110+140+170+200+230)*0.2*0.1/100,9),9)</f>
        <v>0.38800000000000001</v>
      </c>
      <c r="O431">
        <f t="shared" ref="O431:O442" si="381">ROUND(CP431,2)</f>
        <v>1491.72</v>
      </c>
      <c r="P431">
        <f t="shared" ref="P431:P442" si="382">ROUND(CQ431*I431,2)</f>
        <v>8.73</v>
      </c>
      <c r="Q431">
        <f t="shared" ref="Q431:Q442" si="383">ROUND(CR431*I431,2)</f>
        <v>0</v>
      </c>
      <c r="R431">
        <f t="shared" ref="R431:R442" si="384">ROUND(CS431*I431,2)</f>
        <v>0</v>
      </c>
      <c r="S431">
        <f t="shared" ref="S431:S442" si="385">ROUND(CT431*I431,2)</f>
        <v>1482.99</v>
      </c>
      <c r="T431">
        <f t="shared" ref="T431:T442" si="386">ROUND(CU431*I431,2)</f>
        <v>0</v>
      </c>
      <c r="U431">
        <f t="shared" ref="U431:U442" si="387">CV431*I431</f>
        <v>2.7703199999999999</v>
      </c>
      <c r="V431">
        <f t="shared" ref="V431:V442" si="388">CW431*I431</f>
        <v>0</v>
      </c>
      <c r="W431">
        <f t="shared" ref="W431:W442" si="389">ROUND(CX431*I431,2)</f>
        <v>0</v>
      </c>
      <c r="X431">
        <f t="shared" ref="X431:X442" si="390">ROUND(CY431,2)</f>
        <v>1038.0899999999999</v>
      </c>
      <c r="Y431">
        <f t="shared" ref="Y431:Y442" si="391">ROUND(CZ431,2)</f>
        <v>148.30000000000001</v>
      </c>
      <c r="AA431">
        <v>1471988752</v>
      </c>
      <c r="AB431">
        <f t="shared" ref="AB431:AB442" si="392">ROUND((AC431+AD431+AF431),6)</f>
        <v>3844.66</v>
      </c>
      <c r="AC431">
        <f t="shared" ref="AC431:AC442" si="393">ROUND((ES431),6)</f>
        <v>22.51</v>
      </c>
      <c r="AD431">
        <f t="shared" ref="AD431:AD442" si="394">ROUND((((ET431)-(EU431))+AE431),6)</f>
        <v>0</v>
      </c>
      <c r="AE431">
        <f t="shared" ref="AE431:AE442" si="395">ROUND((EU431),6)</f>
        <v>0</v>
      </c>
      <c r="AF431">
        <f t="shared" ref="AF431:AF442" si="396">ROUND((EV431),6)</f>
        <v>3822.15</v>
      </c>
      <c r="AG431">
        <f t="shared" ref="AG431:AG442" si="397">ROUND((AP431),6)</f>
        <v>0</v>
      </c>
      <c r="AH431">
        <f t="shared" ref="AH431:AH442" si="398">(EW431)</f>
        <v>7.14</v>
      </c>
      <c r="AI431">
        <f t="shared" ref="AI431:AI442" si="399">(EX431)</f>
        <v>0</v>
      </c>
      <c r="AJ431">
        <f t="shared" ref="AJ431:AJ442" si="400">(AS431)</f>
        <v>0</v>
      </c>
      <c r="AK431">
        <v>3844.66</v>
      </c>
      <c r="AL431">
        <v>22.51</v>
      </c>
      <c r="AM431">
        <v>0</v>
      </c>
      <c r="AN431">
        <v>0</v>
      </c>
      <c r="AO431">
        <v>3822.15</v>
      </c>
      <c r="AP431">
        <v>0</v>
      </c>
      <c r="AQ431">
        <v>7.14</v>
      </c>
      <c r="AR431">
        <v>0</v>
      </c>
      <c r="AS431">
        <v>0</v>
      </c>
      <c r="AT431">
        <v>70</v>
      </c>
      <c r="AU431">
        <v>10</v>
      </c>
      <c r="AV431">
        <v>1</v>
      </c>
      <c r="AW431">
        <v>1</v>
      </c>
      <c r="AZ431">
        <v>1</v>
      </c>
      <c r="BA431">
        <v>1</v>
      </c>
      <c r="BB431">
        <v>1</v>
      </c>
      <c r="BC431">
        <v>1</v>
      </c>
      <c r="BD431" t="s">
        <v>3</v>
      </c>
      <c r="BE431" t="s">
        <v>3</v>
      </c>
      <c r="BF431" t="s">
        <v>3</v>
      </c>
      <c r="BG431" t="s">
        <v>3</v>
      </c>
      <c r="BH431">
        <v>0</v>
      </c>
      <c r="BI431">
        <v>4</v>
      </c>
      <c r="BJ431" t="s">
        <v>418</v>
      </c>
      <c r="BM431">
        <v>0</v>
      </c>
      <c r="BN431">
        <v>0</v>
      </c>
      <c r="BO431" t="s">
        <v>3</v>
      </c>
      <c r="BP431">
        <v>0</v>
      </c>
      <c r="BQ431">
        <v>1</v>
      </c>
      <c r="BR431">
        <v>0</v>
      </c>
      <c r="BS431">
        <v>1</v>
      </c>
      <c r="BT431">
        <v>1</v>
      </c>
      <c r="BU431">
        <v>1</v>
      </c>
      <c r="BV431">
        <v>1</v>
      </c>
      <c r="BW431">
        <v>1</v>
      </c>
      <c r="BX431">
        <v>1</v>
      </c>
      <c r="BY431" t="s">
        <v>3</v>
      </c>
      <c r="BZ431">
        <v>70</v>
      </c>
      <c r="CA431">
        <v>10</v>
      </c>
      <c r="CB431" t="s">
        <v>3</v>
      </c>
      <c r="CE431">
        <v>0</v>
      </c>
      <c r="CF431">
        <v>0</v>
      </c>
      <c r="CG431">
        <v>0</v>
      </c>
      <c r="CM431">
        <v>0</v>
      </c>
      <c r="CN431" t="s">
        <v>3</v>
      </c>
      <c r="CO431">
        <v>0</v>
      </c>
      <c r="CP431">
        <f t="shared" ref="CP431:CP442" si="401">(P431+Q431+S431)</f>
        <v>1491.72</v>
      </c>
      <c r="CQ431">
        <f t="shared" ref="CQ431:CQ442" si="402">(AC431*BC431*AW431)</f>
        <v>22.51</v>
      </c>
      <c r="CR431">
        <f t="shared" ref="CR431:CR442" si="403">((((ET431)*BB431-(EU431)*BS431)+AE431*BS431)*AV431)</f>
        <v>0</v>
      </c>
      <c r="CS431">
        <f t="shared" ref="CS431:CS442" si="404">(AE431*BS431*AV431)</f>
        <v>0</v>
      </c>
      <c r="CT431">
        <f t="shared" ref="CT431:CT442" si="405">(AF431*BA431*AV431)</f>
        <v>3822.15</v>
      </c>
      <c r="CU431">
        <f t="shared" ref="CU431:CU442" si="406">AG431</f>
        <v>0</v>
      </c>
      <c r="CV431">
        <f t="shared" ref="CV431:CV442" si="407">(AH431*AV431)</f>
        <v>7.14</v>
      </c>
      <c r="CW431">
        <f t="shared" ref="CW431:CW442" si="408">AI431</f>
        <v>0</v>
      </c>
      <c r="CX431">
        <f t="shared" ref="CX431:CX442" si="409">AJ431</f>
        <v>0</v>
      </c>
      <c r="CY431">
        <f t="shared" ref="CY431:CY442" si="410">((S431*BZ431)/100)</f>
        <v>1038.0930000000001</v>
      </c>
      <c r="CZ431">
        <f t="shared" ref="CZ431:CZ442" si="411">((S431*CA431)/100)</f>
        <v>148.29900000000001</v>
      </c>
      <c r="DC431" t="s">
        <v>3</v>
      </c>
      <c r="DD431" t="s">
        <v>3</v>
      </c>
      <c r="DE431" t="s">
        <v>3</v>
      </c>
      <c r="DF431" t="s">
        <v>3</v>
      </c>
      <c r="DG431" t="s">
        <v>3</v>
      </c>
      <c r="DH431" t="s">
        <v>3</v>
      </c>
      <c r="DI431" t="s">
        <v>3</v>
      </c>
      <c r="DJ431" t="s">
        <v>3</v>
      </c>
      <c r="DK431" t="s">
        <v>3</v>
      </c>
      <c r="DL431" t="s">
        <v>3</v>
      </c>
      <c r="DM431" t="s">
        <v>3</v>
      </c>
      <c r="DN431">
        <v>0</v>
      </c>
      <c r="DO431">
        <v>0</v>
      </c>
      <c r="DP431">
        <v>1</v>
      </c>
      <c r="DQ431">
        <v>1</v>
      </c>
      <c r="DU431">
        <v>1003</v>
      </c>
      <c r="DV431" t="s">
        <v>17</v>
      </c>
      <c r="DW431" t="s">
        <v>17</v>
      </c>
      <c r="DX431">
        <v>100</v>
      </c>
      <c r="DZ431" t="s">
        <v>3</v>
      </c>
      <c r="EA431" t="s">
        <v>3</v>
      </c>
      <c r="EB431" t="s">
        <v>3</v>
      </c>
      <c r="EC431" t="s">
        <v>3</v>
      </c>
      <c r="EE431">
        <v>1441815344</v>
      </c>
      <c r="EF431">
        <v>1</v>
      </c>
      <c r="EG431" t="s">
        <v>19</v>
      </c>
      <c r="EH431">
        <v>0</v>
      </c>
      <c r="EI431" t="s">
        <v>3</v>
      </c>
      <c r="EJ431">
        <v>4</v>
      </c>
      <c r="EK431">
        <v>0</v>
      </c>
      <c r="EL431" t="s">
        <v>20</v>
      </c>
      <c r="EM431" t="s">
        <v>21</v>
      </c>
      <c r="EO431" t="s">
        <v>3</v>
      </c>
      <c r="EQ431">
        <v>0</v>
      </c>
      <c r="ER431">
        <v>3844.66</v>
      </c>
      <c r="ES431">
        <v>22.51</v>
      </c>
      <c r="ET431">
        <v>0</v>
      </c>
      <c r="EU431">
        <v>0</v>
      </c>
      <c r="EV431">
        <v>3822.15</v>
      </c>
      <c r="EW431">
        <v>7.14</v>
      </c>
      <c r="EX431">
        <v>0</v>
      </c>
      <c r="EY431">
        <v>0</v>
      </c>
      <c r="FQ431">
        <v>0</v>
      </c>
      <c r="FR431">
        <f t="shared" ref="FR431:FR442" si="412">ROUND(IF(BI431=3,GM431,0),2)</f>
        <v>0</v>
      </c>
      <c r="FS431">
        <v>0</v>
      </c>
      <c r="FX431">
        <v>70</v>
      </c>
      <c r="FY431">
        <v>10</v>
      </c>
      <c r="GA431" t="s">
        <v>3</v>
      </c>
      <c r="GD431">
        <v>0</v>
      </c>
      <c r="GF431">
        <v>795463706</v>
      </c>
      <c r="GG431">
        <v>2</v>
      </c>
      <c r="GH431">
        <v>1</v>
      </c>
      <c r="GI431">
        <v>-2</v>
      </c>
      <c r="GJ431">
        <v>0</v>
      </c>
      <c r="GK431">
        <f>ROUND(R431*(R12)/100,2)</f>
        <v>0</v>
      </c>
      <c r="GL431">
        <f t="shared" ref="GL431:GL442" si="413">ROUND(IF(AND(BH431=3,BI431=3,FS431&lt;&gt;0),P431,0),2)</f>
        <v>0</v>
      </c>
      <c r="GM431">
        <f t="shared" ref="GM431:GM442" si="414">ROUND(O431+X431+Y431+GK431,2)+GX431</f>
        <v>2678.11</v>
      </c>
      <c r="GN431">
        <f t="shared" ref="GN431:GN442" si="415">IF(OR(BI431=0,BI431=1),GM431-GX431,0)</f>
        <v>0</v>
      </c>
      <c r="GO431">
        <f t="shared" ref="GO431:GO442" si="416">IF(BI431=2,GM431-GX431,0)</f>
        <v>0</v>
      </c>
      <c r="GP431">
        <f t="shared" ref="GP431:GP442" si="417">IF(BI431=4,GM431-GX431,0)</f>
        <v>2678.11</v>
      </c>
      <c r="GR431">
        <v>0</v>
      </c>
      <c r="GS431">
        <v>3</v>
      </c>
      <c r="GT431">
        <v>0</v>
      </c>
      <c r="GU431" t="s">
        <v>3</v>
      </c>
      <c r="GV431">
        <f t="shared" ref="GV431:GV442" si="418">ROUND((GT431),6)</f>
        <v>0</v>
      </c>
      <c r="GW431">
        <v>1</v>
      </c>
      <c r="GX431">
        <f t="shared" ref="GX431:GX442" si="419">ROUND(HC431*I431,2)</f>
        <v>0</v>
      </c>
      <c r="HA431">
        <v>0</v>
      </c>
      <c r="HB431">
        <v>0</v>
      </c>
      <c r="HC431">
        <f t="shared" ref="HC431:HC442" si="420">GV431*GW431</f>
        <v>0</v>
      </c>
      <c r="HE431" t="s">
        <v>3</v>
      </c>
      <c r="HF431" t="s">
        <v>3</v>
      </c>
      <c r="HM431" t="s">
        <v>3</v>
      </c>
      <c r="HN431" t="s">
        <v>3</v>
      </c>
      <c r="HO431" t="s">
        <v>3</v>
      </c>
      <c r="HP431" t="s">
        <v>3</v>
      </c>
      <c r="HQ431" t="s">
        <v>3</v>
      </c>
      <c r="IK431">
        <v>0</v>
      </c>
    </row>
    <row r="432" spans="1:245" x14ac:dyDescent="0.2">
      <c r="A432">
        <v>17</v>
      </c>
      <c r="B432">
        <v>1</v>
      </c>
      <c r="D432">
        <f>ROW(EtalonRes!A315)</f>
        <v>315</v>
      </c>
      <c r="E432" t="s">
        <v>3</v>
      </c>
      <c r="F432" t="s">
        <v>419</v>
      </c>
      <c r="G432" t="s">
        <v>420</v>
      </c>
      <c r="H432" t="s">
        <v>17</v>
      </c>
      <c r="I432">
        <f>ROUND(ROUND((1000+10)*0.1/100,9),9)</f>
        <v>1.01</v>
      </c>
      <c r="J432">
        <v>0</v>
      </c>
      <c r="K432">
        <f>ROUND(ROUND((1000+10)*0.1/100,9),9)</f>
        <v>1.01</v>
      </c>
      <c r="O432">
        <f t="shared" si="381"/>
        <v>129.76</v>
      </c>
      <c r="P432">
        <f t="shared" si="382"/>
        <v>0</v>
      </c>
      <c r="Q432">
        <f t="shared" si="383"/>
        <v>0</v>
      </c>
      <c r="R432">
        <f t="shared" si="384"/>
        <v>0</v>
      </c>
      <c r="S432">
        <f t="shared" si="385"/>
        <v>129.76</v>
      </c>
      <c r="T432">
        <f t="shared" si="386"/>
        <v>0</v>
      </c>
      <c r="U432">
        <f t="shared" si="387"/>
        <v>0.2424</v>
      </c>
      <c r="V432">
        <f t="shared" si="388"/>
        <v>0</v>
      </c>
      <c r="W432">
        <f t="shared" si="389"/>
        <v>0</v>
      </c>
      <c r="X432">
        <f t="shared" si="390"/>
        <v>90.83</v>
      </c>
      <c r="Y432">
        <f t="shared" si="391"/>
        <v>12.98</v>
      </c>
      <c r="AA432">
        <v>-1</v>
      </c>
      <c r="AB432">
        <f t="shared" si="392"/>
        <v>128.47999999999999</v>
      </c>
      <c r="AC432">
        <f t="shared" si="393"/>
        <v>0</v>
      </c>
      <c r="AD432">
        <f t="shared" si="394"/>
        <v>0</v>
      </c>
      <c r="AE432">
        <f t="shared" si="395"/>
        <v>0</v>
      </c>
      <c r="AF432">
        <f t="shared" si="396"/>
        <v>128.47999999999999</v>
      </c>
      <c r="AG432">
        <f t="shared" si="397"/>
        <v>0</v>
      </c>
      <c r="AH432">
        <f t="shared" si="398"/>
        <v>0.24</v>
      </c>
      <c r="AI432">
        <f t="shared" si="399"/>
        <v>0</v>
      </c>
      <c r="AJ432">
        <f t="shared" si="400"/>
        <v>0</v>
      </c>
      <c r="AK432">
        <v>128.47999999999999</v>
      </c>
      <c r="AL432">
        <v>0</v>
      </c>
      <c r="AM432">
        <v>0</v>
      </c>
      <c r="AN432">
        <v>0</v>
      </c>
      <c r="AO432">
        <v>128.47999999999999</v>
      </c>
      <c r="AP432">
        <v>0</v>
      </c>
      <c r="AQ432">
        <v>0.24</v>
      </c>
      <c r="AR432">
        <v>0</v>
      </c>
      <c r="AS432">
        <v>0</v>
      </c>
      <c r="AT432">
        <v>70</v>
      </c>
      <c r="AU432">
        <v>10</v>
      </c>
      <c r="AV432">
        <v>1</v>
      </c>
      <c r="AW432">
        <v>1</v>
      </c>
      <c r="AZ432">
        <v>1</v>
      </c>
      <c r="BA432">
        <v>1</v>
      </c>
      <c r="BB432">
        <v>1</v>
      </c>
      <c r="BC432">
        <v>1</v>
      </c>
      <c r="BD432" t="s">
        <v>3</v>
      </c>
      <c r="BE432" t="s">
        <v>3</v>
      </c>
      <c r="BF432" t="s">
        <v>3</v>
      </c>
      <c r="BG432" t="s">
        <v>3</v>
      </c>
      <c r="BH432">
        <v>0</v>
      </c>
      <c r="BI432">
        <v>4</v>
      </c>
      <c r="BJ432" t="s">
        <v>421</v>
      </c>
      <c r="BM432">
        <v>0</v>
      </c>
      <c r="BN432">
        <v>0</v>
      </c>
      <c r="BO432" t="s">
        <v>3</v>
      </c>
      <c r="BP432">
        <v>0</v>
      </c>
      <c r="BQ432">
        <v>1</v>
      </c>
      <c r="BR432">
        <v>0</v>
      </c>
      <c r="BS432">
        <v>1</v>
      </c>
      <c r="BT432">
        <v>1</v>
      </c>
      <c r="BU432">
        <v>1</v>
      </c>
      <c r="BV432">
        <v>1</v>
      </c>
      <c r="BW432">
        <v>1</v>
      </c>
      <c r="BX432">
        <v>1</v>
      </c>
      <c r="BY432" t="s">
        <v>3</v>
      </c>
      <c r="BZ432">
        <v>70</v>
      </c>
      <c r="CA432">
        <v>10</v>
      </c>
      <c r="CB432" t="s">
        <v>3</v>
      </c>
      <c r="CE432">
        <v>0</v>
      </c>
      <c r="CF432">
        <v>0</v>
      </c>
      <c r="CG432">
        <v>0</v>
      </c>
      <c r="CM432">
        <v>0</v>
      </c>
      <c r="CN432" t="s">
        <v>3</v>
      </c>
      <c r="CO432">
        <v>0</v>
      </c>
      <c r="CP432">
        <f t="shared" si="401"/>
        <v>129.76</v>
      </c>
      <c r="CQ432">
        <f t="shared" si="402"/>
        <v>0</v>
      </c>
      <c r="CR432">
        <f t="shared" si="403"/>
        <v>0</v>
      </c>
      <c r="CS432">
        <f t="shared" si="404"/>
        <v>0</v>
      </c>
      <c r="CT432">
        <f t="shared" si="405"/>
        <v>128.47999999999999</v>
      </c>
      <c r="CU432">
        <f t="shared" si="406"/>
        <v>0</v>
      </c>
      <c r="CV432">
        <f t="shared" si="407"/>
        <v>0.24</v>
      </c>
      <c r="CW432">
        <f t="shared" si="408"/>
        <v>0</v>
      </c>
      <c r="CX432">
        <f t="shared" si="409"/>
        <v>0</v>
      </c>
      <c r="CY432">
        <f t="shared" si="410"/>
        <v>90.831999999999994</v>
      </c>
      <c r="CZ432">
        <f t="shared" si="411"/>
        <v>12.975999999999999</v>
      </c>
      <c r="DC432" t="s">
        <v>3</v>
      </c>
      <c r="DD432" t="s">
        <v>3</v>
      </c>
      <c r="DE432" t="s">
        <v>3</v>
      </c>
      <c r="DF432" t="s">
        <v>3</v>
      </c>
      <c r="DG432" t="s">
        <v>3</v>
      </c>
      <c r="DH432" t="s">
        <v>3</v>
      </c>
      <c r="DI432" t="s">
        <v>3</v>
      </c>
      <c r="DJ432" t="s">
        <v>3</v>
      </c>
      <c r="DK432" t="s">
        <v>3</v>
      </c>
      <c r="DL432" t="s">
        <v>3</v>
      </c>
      <c r="DM432" t="s">
        <v>3</v>
      </c>
      <c r="DN432">
        <v>0</v>
      </c>
      <c r="DO432">
        <v>0</v>
      </c>
      <c r="DP432">
        <v>1</v>
      </c>
      <c r="DQ432">
        <v>1</v>
      </c>
      <c r="DU432">
        <v>1003</v>
      </c>
      <c r="DV432" t="s">
        <v>17</v>
      </c>
      <c r="DW432" t="s">
        <v>17</v>
      </c>
      <c r="DX432">
        <v>100</v>
      </c>
      <c r="DZ432" t="s">
        <v>3</v>
      </c>
      <c r="EA432" t="s">
        <v>3</v>
      </c>
      <c r="EB432" t="s">
        <v>3</v>
      </c>
      <c r="EC432" t="s">
        <v>3</v>
      </c>
      <c r="EE432">
        <v>1441815344</v>
      </c>
      <c r="EF432">
        <v>1</v>
      </c>
      <c r="EG432" t="s">
        <v>19</v>
      </c>
      <c r="EH432">
        <v>0</v>
      </c>
      <c r="EI432" t="s">
        <v>3</v>
      </c>
      <c r="EJ432">
        <v>4</v>
      </c>
      <c r="EK432">
        <v>0</v>
      </c>
      <c r="EL432" t="s">
        <v>20</v>
      </c>
      <c r="EM432" t="s">
        <v>21</v>
      </c>
      <c r="EO432" t="s">
        <v>3</v>
      </c>
      <c r="EQ432">
        <v>1024</v>
      </c>
      <c r="ER432">
        <v>128.47999999999999</v>
      </c>
      <c r="ES432">
        <v>0</v>
      </c>
      <c r="ET432">
        <v>0</v>
      </c>
      <c r="EU432">
        <v>0</v>
      </c>
      <c r="EV432">
        <v>128.47999999999999</v>
      </c>
      <c r="EW432">
        <v>0.24</v>
      </c>
      <c r="EX432">
        <v>0</v>
      </c>
      <c r="EY432">
        <v>0</v>
      </c>
      <c r="FQ432">
        <v>0</v>
      </c>
      <c r="FR432">
        <f t="shared" si="412"/>
        <v>0</v>
      </c>
      <c r="FS432">
        <v>0</v>
      </c>
      <c r="FX432">
        <v>70</v>
      </c>
      <c r="FY432">
        <v>10</v>
      </c>
      <c r="GA432" t="s">
        <v>3</v>
      </c>
      <c r="GD432">
        <v>0</v>
      </c>
      <c r="GF432">
        <v>-711825031</v>
      </c>
      <c r="GG432">
        <v>2</v>
      </c>
      <c r="GH432">
        <v>1</v>
      </c>
      <c r="GI432">
        <v>-2</v>
      </c>
      <c r="GJ432">
        <v>0</v>
      </c>
      <c r="GK432">
        <f>ROUND(R432*(R12)/100,2)</f>
        <v>0</v>
      </c>
      <c r="GL432">
        <f t="shared" si="413"/>
        <v>0</v>
      </c>
      <c r="GM432">
        <f t="shared" si="414"/>
        <v>233.57</v>
      </c>
      <c r="GN432">
        <f t="shared" si="415"/>
        <v>0</v>
      </c>
      <c r="GO432">
        <f t="shared" si="416"/>
        <v>0</v>
      </c>
      <c r="GP432">
        <f t="shared" si="417"/>
        <v>233.57</v>
      </c>
      <c r="GR432">
        <v>0</v>
      </c>
      <c r="GS432">
        <v>3</v>
      </c>
      <c r="GT432">
        <v>0</v>
      </c>
      <c r="GU432" t="s">
        <v>3</v>
      </c>
      <c r="GV432">
        <f t="shared" si="418"/>
        <v>0</v>
      </c>
      <c r="GW432">
        <v>1</v>
      </c>
      <c r="GX432">
        <f t="shared" si="419"/>
        <v>0</v>
      </c>
      <c r="HA432">
        <v>0</v>
      </c>
      <c r="HB432">
        <v>0</v>
      </c>
      <c r="HC432">
        <f t="shared" si="420"/>
        <v>0</v>
      </c>
      <c r="HE432" t="s">
        <v>3</v>
      </c>
      <c r="HF432" t="s">
        <v>3</v>
      </c>
      <c r="HM432" t="s">
        <v>3</v>
      </c>
      <c r="HN432" t="s">
        <v>3</v>
      </c>
      <c r="HO432" t="s">
        <v>3</v>
      </c>
      <c r="HP432" t="s">
        <v>3</v>
      </c>
      <c r="HQ432" t="s">
        <v>3</v>
      </c>
      <c r="IK432">
        <v>0</v>
      </c>
    </row>
    <row r="433" spans="1:245" x14ac:dyDescent="0.2">
      <c r="A433">
        <v>17</v>
      </c>
      <c r="B433">
        <v>1</v>
      </c>
      <c r="D433">
        <f>ROW(EtalonRes!A317)</f>
        <v>317</v>
      </c>
      <c r="E433" t="s">
        <v>422</v>
      </c>
      <c r="F433" t="s">
        <v>423</v>
      </c>
      <c r="G433" t="s">
        <v>424</v>
      </c>
      <c r="H433" t="s">
        <v>17</v>
      </c>
      <c r="I433">
        <f>ROUND(ROUND((5250+6300+2450+1750+750+900+350+250)*0.2*0.1/100,9),9)</f>
        <v>3.6</v>
      </c>
      <c r="J433">
        <v>0</v>
      </c>
      <c r="K433">
        <f>ROUND(ROUND((5250+6300+2450+1750+750+900+350+250)*0.2*0.1/100,9),9)</f>
        <v>3.6</v>
      </c>
      <c r="O433">
        <f t="shared" si="381"/>
        <v>19352.38</v>
      </c>
      <c r="P433">
        <f t="shared" si="382"/>
        <v>81.040000000000006</v>
      </c>
      <c r="Q433">
        <f t="shared" si="383"/>
        <v>0</v>
      </c>
      <c r="R433">
        <f t="shared" si="384"/>
        <v>0</v>
      </c>
      <c r="S433">
        <f t="shared" si="385"/>
        <v>19271.34</v>
      </c>
      <c r="T433">
        <f t="shared" si="386"/>
        <v>0</v>
      </c>
      <c r="U433">
        <f t="shared" si="387"/>
        <v>36</v>
      </c>
      <c r="V433">
        <f t="shared" si="388"/>
        <v>0</v>
      </c>
      <c r="W433">
        <f t="shared" si="389"/>
        <v>0</v>
      </c>
      <c r="X433">
        <f t="shared" si="390"/>
        <v>13489.94</v>
      </c>
      <c r="Y433">
        <f t="shared" si="391"/>
        <v>1927.13</v>
      </c>
      <c r="AA433">
        <v>1471988752</v>
      </c>
      <c r="AB433">
        <f t="shared" si="392"/>
        <v>5375.66</v>
      </c>
      <c r="AC433">
        <f t="shared" si="393"/>
        <v>22.51</v>
      </c>
      <c r="AD433">
        <f t="shared" si="394"/>
        <v>0</v>
      </c>
      <c r="AE433">
        <f t="shared" si="395"/>
        <v>0</v>
      </c>
      <c r="AF433">
        <f t="shared" si="396"/>
        <v>5353.15</v>
      </c>
      <c r="AG433">
        <f t="shared" si="397"/>
        <v>0</v>
      </c>
      <c r="AH433">
        <f t="shared" si="398"/>
        <v>10</v>
      </c>
      <c r="AI433">
        <f t="shared" si="399"/>
        <v>0</v>
      </c>
      <c r="AJ433">
        <f t="shared" si="400"/>
        <v>0</v>
      </c>
      <c r="AK433">
        <v>5375.66</v>
      </c>
      <c r="AL433">
        <v>22.51</v>
      </c>
      <c r="AM433">
        <v>0</v>
      </c>
      <c r="AN433">
        <v>0</v>
      </c>
      <c r="AO433">
        <v>5353.15</v>
      </c>
      <c r="AP433">
        <v>0</v>
      </c>
      <c r="AQ433">
        <v>10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425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si="401"/>
        <v>19352.38</v>
      </c>
      <c r="CQ433">
        <f t="shared" si="402"/>
        <v>22.51</v>
      </c>
      <c r="CR433">
        <f t="shared" si="403"/>
        <v>0</v>
      </c>
      <c r="CS433">
        <f t="shared" si="404"/>
        <v>0</v>
      </c>
      <c r="CT433">
        <f t="shared" si="405"/>
        <v>5353.15</v>
      </c>
      <c r="CU433">
        <f t="shared" si="406"/>
        <v>0</v>
      </c>
      <c r="CV433">
        <f t="shared" si="407"/>
        <v>10</v>
      </c>
      <c r="CW433">
        <f t="shared" si="408"/>
        <v>0</v>
      </c>
      <c r="CX433">
        <f t="shared" si="409"/>
        <v>0</v>
      </c>
      <c r="CY433">
        <f t="shared" si="410"/>
        <v>13489.938</v>
      </c>
      <c r="CZ433">
        <f t="shared" si="411"/>
        <v>1927.134</v>
      </c>
      <c r="DC433" t="s">
        <v>3</v>
      </c>
      <c r="DD433" t="s">
        <v>3</v>
      </c>
      <c r="DE433" t="s">
        <v>3</v>
      </c>
      <c r="DF433" t="s">
        <v>3</v>
      </c>
      <c r="DG433" t="s">
        <v>3</v>
      </c>
      <c r="DH433" t="s">
        <v>3</v>
      </c>
      <c r="DI433" t="s">
        <v>3</v>
      </c>
      <c r="DJ433" t="s">
        <v>3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1003</v>
      </c>
      <c r="DV433" t="s">
        <v>17</v>
      </c>
      <c r="DW433" t="s">
        <v>17</v>
      </c>
      <c r="DX433">
        <v>100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19</v>
      </c>
      <c r="EH433">
        <v>0</v>
      </c>
      <c r="EI433" t="s">
        <v>3</v>
      </c>
      <c r="EJ433">
        <v>4</v>
      </c>
      <c r="EK433">
        <v>0</v>
      </c>
      <c r="EL433" t="s">
        <v>20</v>
      </c>
      <c r="EM433" t="s">
        <v>21</v>
      </c>
      <c r="EO433" t="s">
        <v>3</v>
      </c>
      <c r="EQ433">
        <v>0</v>
      </c>
      <c r="ER433">
        <v>5375.66</v>
      </c>
      <c r="ES433">
        <v>22.51</v>
      </c>
      <c r="ET433">
        <v>0</v>
      </c>
      <c r="EU433">
        <v>0</v>
      </c>
      <c r="EV433">
        <v>5353.15</v>
      </c>
      <c r="EW433">
        <v>10</v>
      </c>
      <c r="EX433">
        <v>0</v>
      </c>
      <c r="EY433">
        <v>0</v>
      </c>
      <c r="FQ433">
        <v>0</v>
      </c>
      <c r="FR433">
        <f t="shared" si="412"/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409781007</v>
      </c>
      <c r="GG433">
        <v>2</v>
      </c>
      <c r="GH433">
        <v>1</v>
      </c>
      <c r="GI433">
        <v>-2</v>
      </c>
      <c r="GJ433">
        <v>0</v>
      </c>
      <c r="GK433">
        <f>ROUND(R433*(R12)/100,2)</f>
        <v>0</v>
      </c>
      <c r="GL433">
        <f t="shared" si="413"/>
        <v>0</v>
      </c>
      <c r="GM433">
        <f t="shared" si="414"/>
        <v>34769.449999999997</v>
      </c>
      <c r="GN433">
        <f t="shared" si="415"/>
        <v>0</v>
      </c>
      <c r="GO433">
        <f t="shared" si="416"/>
        <v>0</v>
      </c>
      <c r="GP433">
        <f t="shared" si="417"/>
        <v>34769.449999999997</v>
      </c>
      <c r="GR433">
        <v>0</v>
      </c>
      <c r="GS433">
        <v>3</v>
      </c>
      <c r="GT433">
        <v>0</v>
      </c>
      <c r="GU433" t="s">
        <v>3</v>
      </c>
      <c r="GV433">
        <f t="shared" si="418"/>
        <v>0</v>
      </c>
      <c r="GW433">
        <v>1</v>
      </c>
      <c r="GX433">
        <f t="shared" si="419"/>
        <v>0</v>
      </c>
      <c r="HA433">
        <v>0</v>
      </c>
      <c r="HB433">
        <v>0</v>
      </c>
      <c r="HC433">
        <f t="shared" si="420"/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ROW(EtalonRes!A318)</f>
        <v>318</v>
      </c>
      <c r="E434" t="s">
        <v>3</v>
      </c>
      <c r="F434" t="s">
        <v>426</v>
      </c>
      <c r="G434" t="s">
        <v>427</v>
      </c>
      <c r="H434" t="s">
        <v>17</v>
      </c>
      <c r="I434">
        <f>ROUND(ROUND((5250+6300+2450+1750+750+900+350+250)*0.1/100,9),9)</f>
        <v>18</v>
      </c>
      <c r="J434">
        <v>0</v>
      </c>
      <c r="K434">
        <f>ROUND(ROUND((5250+6300+2450+1750+750+900+350+250)*0.1/100,9),9)</f>
        <v>18</v>
      </c>
      <c r="O434">
        <f t="shared" si="381"/>
        <v>3179.88</v>
      </c>
      <c r="P434">
        <f t="shared" si="382"/>
        <v>0</v>
      </c>
      <c r="Q434">
        <f t="shared" si="383"/>
        <v>0</v>
      </c>
      <c r="R434">
        <f t="shared" si="384"/>
        <v>0</v>
      </c>
      <c r="S434">
        <f t="shared" si="385"/>
        <v>3179.88</v>
      </c>
      <c r="T434">
        <f t="shared" si="386"/>
        <v>0</v>
      </c>
      <c r="U434">
        <f t="shared" si="387"/>
        <v>5.94</v>
      </c>
      <c r="V434">
        <f t="shared" si="388"/>
        <v>0</v>
      </c>
      <c r="W434">
        <f t="shared" si="389"/>
        <v>0</v>
      </c>
      <c r="X434">
        <f t="shared" si="390"/>
        <v>2225.92</v>
      </c>
      <c r="Y434">
        <f t="shared" si="391"/>
        <v>317.99</v>
      </c>
      <c r="AA434">
        <v>-1</v>
      </c>
      <c r="AB434">
        <f t="shared" si="392"/>
        <v>176.66</v>
      </c>
      <c r="AC434">
        <f t="shared" si="393"/>
        <v>0</v>
      </c>
      <c r="AD434">
        <f t="shared" si="394"/>
        <v>0</v>
      </c>
      <c r="AE434">
        <f t="shared" si="395"/>
        <v>0</v>
      </c>
      <c r="AF434">
        <f t="shared" si="396"/>
        <v>176.66</v>
      </c>
      <c r="AG434">
        <f t="shared" si="397"/>
        <v>0</v>
      </c>
      <c r="AH434">
        <f t="shared" si="398"/>
        <v>0.33</v>
      </c>
      <c r="AI434">
        <f t="shared" si="399"/>
        <v>0</v>
      </c>
      <c r="AJ434">
        <f t="shared" si="400"/>
        <v>0</v>
      </c>
      <c r="AK434">
        <v>176.66</v>
      </c>
      <c r="AL434">
        <v>0</v>
      </c>
      <c r="AM434">
        <v>0</v>
      </c>
      <c r="AN434">
        <v>0</v>
      </c>
      <c r="AO434">
        <v>176.66</v>
      </c>
      <c r="AP434">
        <v>0</v>
      </c>
      <c r="AQ434">
        <v>0.33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428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401"/>
        <v>3179.88</v>
      </c>
      <c r="CQ434">
        <f t="shared" si="402"/>
        <v>0</v>
      </c>
      <c r="CR434">
        <f t="shared" si="403"/>
        <v>0</v>
      </c>
      <c r="CS434">
        <f t="shared" si="404"/>
        <v>0</v>
      </c>
      <c r="CT434">
        <f t="shared" si="405"/>
        <v>176.66</v>
      </c>
      <c r="CU434">
        <f t="shared" si="406"/>
        <v>0</v>
      </c>
      <c r="CV434">
        <f t="shared" si="407"/>
        <v>0.33</v>
      </c>
      <c r="CW434">
        <f t="shared" si="408"/>
        <v>0</v>
      </c>
      <c r="CX434">
        <f t="shared" si="409"/>
        <v>0</v>
      </c>
      <c r="CY434">
        <f t="shared" si="410"/>
        <v>2225.9160000000002</v>
      </c>
      <c r="CZ434">
        <f t="shared" si="411"/>
        <v>317.98800000000006</v>
      </c>
      <c r="DC434" t="s">
        <v>3</v>
      </c>
      <c r="DD434" t="s">
        <v>3</v>
      </c>
      <c r="DE434" t="s">
        <v>3</v>
      </c>
      <c r="DF434" t="s">
        <v>3</v>
      </c>
      <c r="DG434" t="s">
        <v>3</v>
      </c>
      <c r="DH434" t="s">
        <v>3</v>
      </c>
      <c r="DI434" t="s">
        <v>3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1003</v>
      </c>
      <c r="DV434" t="s">
        <v>17</v>
      </c>
      <c r="DW434" t="s">
        <v>17</v>
      </c>
      <c r="DX434">
        <v>100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19</v>
      </c>
      <c r="EH434">
        <v>0</v>
      </c>
      <c r="EI434" t="s">
        <v>3</v>
      </c>
      <c r="EJ434">
        <v>4</v>
      </c>
      <c r="EK434">
        <v>0</v>
      </c>
      <c r="EL434" t="s">
        <v>20</v>
      </c>
      <c r="EM434" t="s">
        <v>21</v>
      </c>
      <c r="EO434" t="s">
        <v>3</v>
      </c>
      <c r="EQ434">
        <v>1024</v>
      </c>
      <c r="ER434">
        <v>176.66</v>
      </c>
      <c r="ES434">
        <v>0</v>
      </c>
      <c r="ET434">
        <v>0</v>
      </c>
      <c r="EU434">
        <v>0</v>
      </c>
      <c r="EV434">
        <v>176.66</v>
      </c>
      <c r="EW434">
        <v>0.33</v>
      </c>
      <c r="EX434">
        <v>0</v>
      </c>
      <c r="EY434">
        <v>0</v>
      </c>
      <c r="FQ434">
        <v>0</v>
      </c>
      <c r="FR434">
        <f t="shared" si="412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-89122687</v>
      </c>
      <c r="GG434">
        <v>2</v>
      </c>
      <c r="GH434">
        <v>1</v>
      </c>
      <c r="GI434">
        <v>-2</v>
      </c>
      <c r="GJ434">
        <v>0</v>
      </c>
      <c r="GK434">
        <f>ROUND(R434*(R12)/100,2)</f>
        <v>0</v>
      </c>
      <c r="GL434">
        <f t="shared" si="413"/>
        <v>0</v>
      </c>
      <c r="GM434">
        <f t="shared" si="414"/>
        <v>5723.79</v>
      </c>
      <c r="GN434">
        <f t="shared" si="415"/>
        <v>0</v>
      </c>
      <c r="GO434">
        <f t="shared" si="416"/>
        <v>0</v>
      </c>
      <c r="GP434">
        <f t="shared" si="417"/>
        <v>5723.79</v>
      </c>
      <c r="GR434">
        <v>0</v>
      </c>
      <c r="GS434">
        <v>3</v>
      </c>
      <c r="GT434">
        <v>0</v>
      </c>
      <c r="GU434" t="s">
        <v>3</v>
      </c>
      <c r="GV434">
        <f t="shared" si="418"/>
        <v>0</v>
      </c>
      <c r="GW434">
        <v>1</v>
      </c>
      <c r="GX434">
        <f t="shared" si="419"/>
        <v>0</v>
      </c>
      <c r="HA434">
        <v>0</v>
      </c>
      <c r="HB434">
        <v>0</v>
      </c>
      <c r="HC434">
        <f t="shared" si="420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ROW(EtalonRes!A320)</f>
        <v>320</v>
      </c>
      <c r="E435" t="s">
        <v>429</v>
      </c>
      <c r="F435" t="s">
        <v>430</v>
      </c>
      <c r="G435" t="s">
        <v>431</v>
      </c>
      <c r="H435" t="s">
        <v>17</v>
      </c>
      <c r="I435">
        <f>ROUND(ROUND((420+490+820+330+810+60+70+70+35+80+80+80+110+110+140+140)*0.2*0.1/100,9),9)</f>
        <v>0.76900000000000002</v>
      </c>
      <c r="J435">
        <v>0</v>
      </c>
      <c r="K435">
        <f>ROUND(ROUND((420+490+820+330+810+60+70+70+35+80+80+80+110+110+140+140)*0.2*0.1/100,9),9)</f>
        <v>0.76900000000000002</v>
      </c>
      <c r="O435">
        <f t="shared" si="381"/>
        <v>4630.05</v>
      </c>
      <c r="P435">
        <f t="shared" si="382"/>
        <v>11.25</v>
      </c>
      <c r="Q435">
        <f t="shared" si="383"/>
        <v>0</v>
      </c>
      <c r="R435">
        <f t="shared" si="384"/>
        <v>0</v>
      </c>
      <c r="S435">
        <f t="shared" si="385"/>
        <v>4618.8</v>
      </c>
      <c r="T435">
        <f t="shared" si="386"/>
        <v>0</v>
      </c>
      <c r="U435">
        <f t="shared" si="387"/>
        <v>8.6281800000000004</v>
      </c>
      <c r="V435">
        <f t="shared" si="388"/>
        <v>0</v>
      </c>
      <c r="W435">
        <f t="shared" si="389"/>
        <v>0</v>
      </c>
      <c r="X435">
        <f t="shared" si="390"/>
        <v>3233.16</v>
      </c>
      <c r="Y435">
        <f t="shared" si="391"/>
        <v>461.88</v>
      </c>
      <c r="AA435">
        <v>1471988752</v>
      </c>
      <c r="AB435">
        <f t="shared" si="392"/>
        <v>6020.87</v>
      </c>
      <c r="AC435">
        <f t="shared" si="393"/>
        <v>14.63</v>
      </c>
      <c r="AD435">
        <f t="shared" si="394"/>
        <v>0</v>
      </c>
      <c r="AE435">
        <f t="shared" si="395"/>
        <v>0</v>
      </c>
      <c r="AF435">
        <f t="shared" si="396"/>
        <v>6006.24</v>
      </c>
      <c r="AG435">
        <f t="shared" si="397"/>
        <v>0</v>
      </c>
      <c r="AH435">
        <f t="shared" si="398"/>
        <v>11.22</v>
      </c>
      <c r="AI435">
        <f t="shared" si="399"/>
        <v>0</v>
      </c>
      <c r="AJ435">
        <f t="shared" si="400"/>
        <v>0</v>
      </c>
      <c r="AK435">
        <v>6020.87</v>
      </c>
      <c r="AL435">
        <v>14.63</v>
      </c>
      <c r="AM435">
        <v>0</v>
      </c>
      <c r="AN435">
        <v>0</v>
      </c>
      <c r="AO435">
        <v>6006.24</v>
      </c>
      <c r="AP435">
        <v>0</v>
      </c>
      <c r="AQ435">
        <v>11.22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432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401"/>
        <v>4630.05</v>
      </c>
      <c r="CQ435">
        <f t="shared" si="402"/>
        <v>14.63</v>
      </c>
      <c r="CR435">
        <f t="shared" si="403"/>
        <v>0</v>
      </c>
      <c r="CS435">
        <f t="shared" si="404"/>
        <v>0</v>
      </c>
      <c r="CT435">
        <f t="shared" si="405"/>
        <v>6006.24</v>
      </c>
      <c r="CU435">
        <f t="shared" si="406"/>
        <v>0</v>
      </c>
      <c r="CV435">
        <f t="shared" si="407"/>
        <v>11.22</v>
      </c>
      <c r="CW435">
        <f t="shared" si="408"/>
        <v>0</v>
      </c>
      <c r="CX435">
        <f t="shared" si="409"/>
        <v>0</v>
      </c>
      <c r="CY435">
        <f t="shared" si="410"/>
        <v>3233.16</v>
      </c>
      <c r="CZ435">
        <f t="shared" si="411"/>
        <v>461.88</v>
      </c>
      <c r="DC435" t="s">
        <v>3</v>
      </c>
      <c r="DD435" t="s">
        <v>3</v>
      </c>
      <c r="DE435" t="s">
        <v>3</v>
      </c>
      <c r="DF435" t="s">
        <v>3</v>
      </c>
      <c r="DG435" t="s">
        <v>3</v>
      </c>
      <c r="DH435" t="s">
        <v>3</v>
      </c>
      <c r="DI435" t="s">
        <v>3</v>
      </c>
      <c r="DJ435" t="s">
        <v>3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1003</v>
      </c>
      <c r="DV435" t="s">
        <v>17</v>
      </c>
      <c r="DW435" t="s">
        <v>17</v>
      </c>
      <c r="DX435">
        <v>100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19</v>
      </c>
      <c r="EH435">
        <v>0</v>
      </c>
      <c r="EI435" t="s">
        <v>3</v>
      </c>
      <c r="EJ435">
        <v>4</v>
      </c>
      <c r="EK435">
        <v>0</v>
      </c>
      <c r="EL435" t="s">
        <v>20</v>
      </c>
      <c r="EM435" t="s">
        <v>21</v>
      </c>
      <c r="EO435" t="s">
        <v>3</v>
      </c>
      <c r="EQ435">
        <v>0</v>
      </c>
      <c r="ER435">
        <v>6020.87</v>
      </c>
      <c r="ES435">
        <v>14.63</v>
      </c>
      <c r="ET435">
        <v>0</v>
      </c>
      <c r="EU435">
        <v>0</v>
      </c>
      <c r="EV435">
        <v>6006.24</v>
      </c>
      <c r="EW435">
        <v>11.22</v>
      </c>
      <c r="EX435">
        <v>0</v>
      </c>
      <c r="EY435">
        <v>0</v>
      </c>
      <c r="FQ435">
        <v>0</v>
      </c>
      <c r="FR435">
        <f t="shared" si="412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1338715507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413"/>
        <v>0</v>
      </c>
      <c r="GM435">
        <f t="shared" si="414"/>
        <v>8325.09</v>
      </c>
      <c r="GN435">
        <f t="shared" si="415"/>
        <v>0</v>
      </c>
      <c r="GO435">
        <f t="shared" si="416"/>
        <v>0</v>
      </c>
      <c r="GP435">
        <f t="shared" si="417"/>
        <v>8325.09</v>
      </c>
      <c r="GR435">
        <v>0</v>
      </c>
      <c r="GS435">
        <v>3</v>
      </c>
      <c r="GT435">
        <v>0</v>
      </c>
      <c r="GU435" t="s">
        <v>3</v>
      </c>
      <c r="GV435">
        <f t="shared" si="418"/>
        <v>0</v>
      </c>
      <c r="GW435">
        <v>1</v>
      </c>
      <c r="GX435">
        <f t="shared" si="419"/>
        <v>0</v>
      </c>
      <c r="HA435">
        <v>0</v>
      </c>
      <c r="HB435">
        <v>0</v>
      </c>
      <c r="HC435">
        <f t="shared" si="420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ROW(EtalonRes!A322)</f>
        <v>322</v>
      </c>
      <c r="E436" t="s">
        <v>3</v>
      </c>
      <c r="F436" t="s">
        <v>433</v>
      </c>
      <c r="G436" t="s">
        <v>434</v>
      </c>
      <c r="H436" t="s">
        <v>17</v>
      </c>
      <c r="I436">
        <f>ROUND(ROUND((420+490+820+330+810+60+70+70+35+80+80+80+110+110+140+140)*0.1/100,9),9)</f>
        <v>3.8450000000000002</v>
      </c>
      <c r="J436">
        <v>0</v>
      </c>
      <c r="K436">
        <f>ROUND(ROUND((420+490+820+330+810+60+70+70+35+80+80+80+110+110+140+140)*0.1/100,9),9)</f>
        <v>3.8450000000000002</v>
      </c>
      <c r="O436">
        <f t="shared" si="381"/>
        <v>783.61</v>
      </c>
      <c r="P436">
        <f t="shared" si="382"/>
        <v>1.46</v>
      </c>
      <c r="Q436">
        <f t="shared" si="383"/>
        <v>0</v>
      </c>
      <c r="R436">
        <f t="shared" si="384"/>
        <v>0</v>
      </c>
      <c r="S436">
        <f t="shared" si="385"/>
        <v>782.15</v>
      </c>
      <c r="T436">
        <f t="shared" si="386"/>
        <v>0</v>
      </c>
      <c r="U436">
        <f t="shared" si="387"/>
        <v>1.4611000000000001</v>
      </c>
      <c r="V436">
        <f t="shared" si="388"/>
        <v>0</v>
      </c>
      <c r="W436">
        <f t="shared" si="389"/>
        <v>0</v>
      </c>
      <c r="X436">
        <f t="shared" si="390"/>
        <v>547.51</v>
      </c>
      <c r="Y436">
        <f t="shared" si="391"/>
        <v>78.22</v>
      </c>
      <c r="AA436">
        <v>-1</v>
      </c>
      <c r="AB436">
        <f t="shared" si="392"/>
        <v>203.8</v>
      </c>
      <c r="AC436">
        <f t="shared" si="393"/>
        <v>0.38</v>
      </c>
      <c r="AD436">
        <f t="shared" si="394"/>
        <v>0</v>
      </c>
      <c r="AE436">
        <f t="shared" si="395"/>
        <v>0</v>
      </c>
      <c r="AF436">
        <f t="shared" si="396"/>
        <v>203.42</v>
      </c>
      <c r="AG436">
        <f t="shared" si="397"/>
        <v>0</v>
      </c>
      <c r="AH436">
        <f t="shared" si="398"/>
        <v>0.38</v>
      </c>
      <c r="AI436">
        <f t="shared" si="399"/>
        <v>0</v>
      </c>
      <c r="AJ436">
        <f t="shared" si="400"/>
        <v>0</v>
      </c>
      <c r="AK436">
        <v>203.8</v>
      </c>
      <c r="AL436">
        <v>0.38</v>
      </c>
      <c r="AM436">
        <v>0</v>
      </c>
      <c r="AN436">
        <v>0</v>
      </c>
      <c r="AO436">
        <v>203.42</v>
      </c>
      <c r="AP436">
        <v>0</v>
      </c>
      <c r="AQ436">
        <v>0.38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435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401"/>
        <v>783.61</v>
      </c>
      <c r="CQ436">
        <f t="shared" si="402"/>
        <v>0.38</v>
      </c>
      <c r="CR436">
        <f t="shared" si="403"/>
        <v>0</v>
      </c>
      <c r="CS436">
        <f t="shared" si="404"/>
        <v>0</v>
      </c>
      <c r="CT436">
        <f t="shared" si="405"/>
        <v>203.42</v>
      </c>
      <c r="CU436">
        <f t="shared" si="406"/>
        <v>0</v>
      </c>
      <c r="CV436">
        <f t="shared" si="407"/>
        <v>0.38</v>
      </c>
      <c r="CW436">
        <f t="shared" si="408"/>
        <v>0</v>
      </c>
      <c r="CX436">
        <f t="shared" si="409"/>
        <v>0</v>
      </c>
      <c r="CY436">
        <f t="shared" si="410"/>
        <v>547.505</v>
      </c>
      <c r="CZ436">
        <f t="shared" si="411"/>
        <v>78.215000000000003</v>
      </c>
      <c r="DC436" t="s">
        <v>3</v>
      </c>
      <c r="DD436" t="s">
        <v>3</v>
      </c>
      <c r="DE436" t="s">
        <v>3</v>
      </c>
      <c r="DF436" t="s">
        <v>3</v>
      </c>
      <c r="DG436" t="s">
        <v>3</v>
      </c>
      <c r="DH436" t="s">
        <v>3</v>
      </c>
      <c r="DI436" t="s">
        <v>3</v>
      </c>
      <c r="DJ436" t="s">
        <v>3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1003</v>
      </c>
      <c r="DV436" t="s">
        <v>17</v>
      </c>
      <c r="DW436" t="s">
        <v>17</v>
      </c>
      <c r="DX436">
        <v>100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19</v>
      </c>
      <c r="EH436">
        <v>0</v>
      </c>
      <c r="EI436" t="s">
        <v>3</v>
      </c>
      <c r="EJ436">
        <v>4</v>
      </c>
      <c r="EK436">
        <v>0</v>
      </c>
      <c r="EL436" t="s">
        <v>20</v>
      </c>
      <c r="EM436" t="s">
        <v>21</v>
      </c>
      <c r="EO436" t="s">
        <v>3</v>
      </c>
      <c r="EQ436">
        <v>1024</v>
      </c>
      <c r="ER436">
        <v>203.8</v>
      </c>
      <c r="ES436">
        <v>0.38</v>
      </c>
      <c r="ET436">
        <v>0</v>
      </c>
      <c r="EU436">
        <v>0</v>
      </c>
      <c r="EV436">
        <v>203.42</v>
      </c>
      <c r="EW436">
        <v>0.38</v>
      </c>
      <c r="EX436">
        <v>0</v>
      </c>
      <c r="EY436">
        <v>0</v>
      </c>
      <c r="FQ436">
        <v>0</v>
      </c>
      <c r="FR436">
        <f t="shared" si="412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1716780614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413"/>
        <v>0</v>
      </c>
      <c r="GM436">
        <f t="shared" si="414"/>
        <v>1409.34</v>
      </c>
      <c r="GN436">
        <f t="shared" si="415"/>
        <v>0</v>
      </c>
      <c r="GO436">
        <f t="shared" si="416"/>
        <v>0</v>
      </c>
      <c r="GP436">
        <f t="shared" si="417"/>
        <v>1409.34</v>
      </c>
      <c r="GR436">
        <v>0</v>
      </c>
      <c r="GS436">
        <v>3</v>
      </c>
      <c r="GT436">
        <v>0</v>
      </c>
      <c r="GU436" t="s">
        <v>3</v>
      </c>
      <c r="GV436">
        <f t="shared" si="418"/>
        <v>0</v>
      </c>
      <c r="GW436">
        <v>1</v>
      </c>
      <c r="GX436">
        <f t="shared" si="419"/>
        <v>0</v>
      </c>
      <c r="HA436">
        <v>0</v>
      </c>
      <c r="HB436">
        <v>0</v>
      </c>
      <c r="HC436">
        <f t="shared" si="420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ROW(EtalonRes!A324)</f>
        <v>324</v>
      </c>
      <c r="E437" t="s">
        <v>436</v>
      </c>
      <c r="F437" t="s">
        <v>437</v>
      </c>
      <c r="G437" t="s">
        <v>438</v>
      </c>
      <c r="H437" t="s">
        <v>17</v>
      </c>
      <c r="I437">
        <f>ROUND(ROUND((600+140+1860+20+180+170+170+200+200+230+230)*0.2*0.1/100,9),9)</f>
        <v>0.8</v>
      </c>
      <c r="J437">
        <v>0</v>
      </c>
      <c r="K437">
        <f>ROUND(ROUND((600+140+1860+20+180+170+170+200+200+230+230)*0.2*0.1/100,9),9)</f>
        <v>0.8</v>
      </c>
      <c r="O437">
        <f t="shared" si="381"/>
        <v>5100.24</v>
      </c>
      <c r="P437">
        <f t="shared" si="382"/>
        <v>12.61</v>
      </c>
      <c r="Q437">
        <f t="shared" si="383"/>
        <v>0</v>
      </c>
      <c r="R437">
        <f t="shared" si="384"/>
        <v>0</v>
      </c>
      <c r="S437">
        <f t="shared" si="385"/>
        <v>5087.63</v>
      </c>
      <c r="T437">
        <f t="shared" si="386"/>
        <v>0</v>
      </c>
      <c r="U437">
        <f t="shared" si="387"/>
        <v>9.5040000000000013</v>
      </c>
      <c r="V437">
        <f t="shared" si="388"/>
        <v>0</v>
      </c>
      <c r="W437">
        <f t="shared" si="389"/>
        <v>0</v>
      </c>
      <c r="X437">
        <f t="shared" si="390"/>
        <v>3561.34</v>
      </c>
      <c r="Y437">
        <f t="shared" si="391"/>
        <v>508.76</v>
      </c>
      <c r="AA437">
        <v>1471988752</v>
      </c>
      <c r="AB437">
        <f t="shared" si="392"/>
        <v>6375.3</v>
      </c>
      <c r="AC437">
        <f t="shared" si="393"/>
        <v>15.76</v>
      </c>
      <c r="AD437">
        <f t="shared" si="394"/>
        <v>0</v>
      </c>
      <c r="AE437">
        <f t="shared" si="395"/>
        <v>0</v>
      </c>
      <c r="AF437">
        <f t="shared" si="396"/>
        <v>6359.54</v>
      </c>
      <c r="AG437">
        <f t="shared" si="397"/>
        <v>0</v>
      </c>
      <c r="AH437">
        <f t="shared" si="398"/>
        <v>11.88</v>
      </c>
      <c r="AI437">
        <f t="shared" si="399"/>
        <v>0</v>
      </c>
      <c r="AJ437">
        <f t="shared" si="400"/>
        <v>0</v>
      </c>
      <c r="AK437">
        <v>6375.3</v>
      </c>
      <c r="AL437">
        <v>15.76</v>
      </c>
      <c r="AM437">
        <v>0</v>
      </c>
      <c r="AN437">
        <v>0</v>
      </c>
      <c r="AO437">
        <v>6359.54</v>
      </c>
      <c r="AP437">
        <v>0</v>
      </c>
      <c r="AQ437">
        <v>11.88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439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401"/>
        <v>5100.24</v>
      </c>
      <c r="CQ437">
        <f t="shared" si="402"/>
        <v>15.76</v>
      </c>
      <c r="CR437">
        <f t="shared" si="403"/>
        <v>0</v>
      </c>
      <c r="CS437">
        <f t="shared" si="404"/>
        <v>0</v>
      </c>
      <c r="CT437">
        <f t="shared" si="405"/>
        <v>6359.54</v>
      </c>
      <c r="CU437">
        <f t="shared" si="406"/>
        <v>0</v>
      </c>
      <c r="CV437">
        <f t="shared" si="407"/>
        <v>11.88</v>
      </c>
      <c r="CW437">
        <f t="shared" si="408"/>
        <v>0</v>
      </c>
      <c r="CX437">
        <f t="shared" si="409"/>
        <v>0</v>
      </c>
      <c r="CY437">
        <f t="shared" si="410"/>
        <v>3561.3410000000003</v>
      </c>
      <c r="CZ437">
        <f t="shared" si="411"/>
        <v>508.76300000000003</v>
      </c>
      <c r="DC437" t="s">
        <v>3</v>
      </c>
      <c r="DD437" t="s">
        <v>3</v>
      </c>
      <c r="DE437" t="s">
        <v>3</v>
      </c>
      <c r="DF437" t="s">
        <v>3</v>
      </c>
      <c r="DG437" t="s">
        <v>3</v>
      </c>
      <c r="DH437" t="s">
        <v>3</v>
      </c>
      <c r="DI437" t="s">
        <v>3</v>
      </c>
      <c r="DJ437" t="s">
        <v>3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1003</v>
      </c>
      <c r="DV437" t="s">
        <v>17</v>
      </c>
      <c r="DW437" t="s">
        <v>17</v>
      </c>
      <c r="DX437">
        <v>100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19</v>
      </c>
      <c r="EH437">
        <v>0</v>
      </c>
      <c r="EI437" t="s">
        <v>3</v>
      </c>
      <c r="EJ437">
        <v>4</v>
      </c>
      <c r="EK437">
        <v>0</v>
      </c>
      <c r="EL437" t="s">
        <v>20</v>
      </c>
      <c r="EM437" t="s">
        <v>21</v>
      </c>
      <c r="EO437" t="s">
        <v>3</v>
      </c>
      <c r="EQ437">
        <v>0</v>
      </c>
      <c r="ER437">
        <v>6375.3</v>
      </c>
      <c r="ES437">
        <v>15.76</v>
      </c>
      <c r="ET437">
        <v>0</v>
      </c>
      <c r="EU437">
        <v>0</v>
      </c>
      <c r="EV437">
        <v>6359.54</v>
      </c>
      <c r="EW437">
        <v>11.88</v>
      </c>
      <c r="EX437">
        <v>0</v>
      </c>
      <c r="EY437">
        <v>0</v>
      </c>
      <c r="FQ437">
        <v>0</v>
      </c>
      <c r="FR437">
        <f t="shared" si="412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368761667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413"/>
        <v>0</v>
      </c>
      <c r="GM437">
        <f t="shared" si="414"/>
        <v>9170.34</v>
      </c>
      <c r="GN437">
        <f t="shared" si="415"/>
        <v>0</v>
      </c>
      <c r="GO437">
        <f t="shared" si="416"/>
        <v>0</v>
      </c>
      <c r="GP437">
        <f t="shared" si="417"/>
        <v>9170.34</v>
      </c>
      <c r="GR437">
        <v>0</v>
      </c>
      <c r="GS437">
        <v>3</v>
      </c>
      <c r="GT437">
        <v>0</v>
      </c>
      <c r="GU437" t="s">
        <v>3</v>
      </c>
      <c r="GV437">
        <f t="shared" si="418"/>
        <v>0</v>
      </c>
      <c r="GW437">
        <v>1</v>
      </c>
      <c r="GX437">
        <f t="shared" si="419"/>
        <v>0</v>
      </c>
      <c r="HA437">
        <v>0</v>
      </c>
      <c r="HB437">
        <v>0</v>
      </c>
      <c r="HC437">
        <f t="shared" si="420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ROW(EtalonRes!A326)</f>
        <v>326</v>
      </c>
      <c r="E438" t="s">
        <v>440</v>
      </c>
      <c r="F438" t="s">
        <v>441</v>
      </c>
      <c r="G438" t="s">
        <v>442</v>
      </c>
      <c r="H438" t="s">
        <v>17</v>
      </c>
      <c r="I438">
        <f>ROUND(ROUND((600+140+1860+20+180)*0.2*0.1/100,9),9)</f>
        <v>0.56000000000000005</v>
      </c>
      <c r="J438">
        <v>0</v>
      </c>
      <c r="K438">
        <f>ROUND(ROUND((600+140+1860+20+180)*0.2*0.1/100,9),9)</f>
        <v>0.56000000000000005</v>
      </c>
      <c r="O438">
        <f t="shared" si="381"/>
        <v>793.3</v>
      </c>
      <c r="P438">
        <f t="shared" si="382"/>
        <v>1.89</v>
      </c>
      <c r="Q438">
        <f t="shared" si="383"/>
        <v>0</v>
      </c>
      <c r="R438">
        <f t="shared" si="384"/>
        <v>0</v>
      </c>
      <c r="S438">
        <f t="shared" si="385"/>
        <v>791.41</v>
      </c>
      <c r="T438">
        <f t="shared" si="386"/>
        <v>0</v>
      </c>
      <c r="U438">
        <f t="shared" si="387"/>
        <v>1.4784000000000002</v>
      </c>
      <c r="V438">
        <f t="shared" si="388"/>
        <v>0</v>
      </c>
      <c r="W438">
        <f t="shared" si="389"/>
        <v>0</v>
      </c>
      <c r="X438">
        <f t="shared" si="390"/>
        <v>553.99</v>
      </c>
      <c r="Y438">
        <f t="shared" si="391"/>
        <v>79.14</v>
      </c>
      <c r="AA438">
        <v>1471988752</v>
      </c>
      <c r="AB438">
        <f t="shared" si="392"/>
        <v>1416.61</v>
      </c>
      <c r="AC438">
        <f t="shared" si="393"/>
        <v>3.38</v>
      </c>
      <c r="AD438">
        <f t="shared" si="394"/>
        <v>0</v>
      </c>
      <c r="AE438">
        <f t="shared" si="395"/>
        <v>0</v>
      </c>
      <c r="AF438">
        <f t="shared" si="396"/>
        <v>1413.23</v>
      </c>
      <c r="AG438">
        <f t="shared" si="397"/>
        <v>0</v>
      </c>
      <c r="AH438">
        <f t="shared" si="398"/>
        <v>2.64</v>
      </c>
      <c r="AI438">
        <f t="shared" si="399"/>
        <v>0</v>
      </c>
      <c r="AJ438">
        <f t="shared" si="400"/>
        <v>0</v>
      </c>
      <c r="AK438">
        <v>1416.61</v>
      </c>
      <c r="AL438">
        <v>3.38</v>
      </c>
      <c r="AM438">
        <v>0</v>
      </c>
      <c r="AN438">
        <v>0</v>
      </c>
      <c r="AO438">
        <v>1413.23</v>
      </c>
      <c r="AP438">
        <v>0</v>
      </c>
      <c r="AQ438">
        <v>2.64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443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401"/>
        <v>793.3</v>
      </c>
      <c r="CQ438">
        <f t="shared" si="402"/>
        <v>3.38</v>
      </c>
      <c r="CR438">
        <f t="shared" si="403"/>
        <v>0</v>
      </c>
      <c r="CS438">
        <f t="shared" si="404"/>
        <v>0</v>
      </c>
      <c r="CT438">
        <f t="shared" si="405"/>
        <v>1413.23</v>
      </c>
      <c r="CU438">
        <f t="shared" si="406"/>
        <v>0</v>
      </c>
      <c r="CV438">
        <f t="shared" si="407"/>
        <v>2.64</v>
      </c>
      <c r="CW438">
        <f t="shared" si="408"/>
        <v>0</v>
      </c>
      <c r="CX438">
        <f t="shared" si="409"/>
        <v>0</v>
      </c>
      <c r="CY438">
        <f t="shared" si="410"/>
        <v>553.98699999999997</v>
      </c>
      <c r="CZ438">
        <f t="shared" si="411"/>
        <v>79.140999999999991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17</v>
      </c>
      <c r="DW438" t="s">
        <v>17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19</v>
      </c>
      <c r="EH438">
        <v>0</v>
      </c>
      <c r="EI438" t="s">
        <v>3</v>
      </c>
      <c r="EJ438">
        <v>4</v>
      </c>
      <c r="EK438">
        <v>0</v>
      </c>
      <c r="EL438" t="s">
        <v>20</v>
      </c>
      <c r="EM438" t="s">
        <v>21</v>
      </c>
      <c r="EO438" t="s">
        <v>3</v>
      </c>
      <c r="EQ438">
        <v>0</v>
      </c>
      <c r="ER438">
        <v>1416.61</v>
      </c>
      <c r="ES438">
        <v>3.38</v>
      </c>
      <c r="ET438">
        <v>0</v>
      </c>
      <c r="EU438">
        <v>0</v>
      </c>
      <c r="EV438">
        <v>1413.23</v>
      </c>
      <c r="EW438">
        <v>2.64</v>
      </c>
      <c r="EX438">
        <v>0</v>
      </c>
      <c r="EY438">
        <v>0</v>
      </c>
      <c r="FQ438">
        <v>0</v>
      </c>
      <c r="FR438">
        <f t="shared" si="412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-617648009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si="413"/>
        <v>0</v>
      </c>
      <c r="GM438">
        <f t="shared" si="414"/>
        <v>1426.43</v>
      </c>
      <c r="GN438">
        <f t="shared" si="415"/>
        <v>0</v>
      </c>
      <c r="GO438">
        <f t="shared" si="416"/>
        <v>0</v>
      </c>
      <c r="GP438">
        <f t="shared" si="417"/>
        <v>1426.43</v>
      </c>
      <c r="GR438">
        <v>0</v>
      </c>
      <c r="GS438">
        <v>3</v>
      </c>
      <c r="GT438">
        <v>0</v>
      </c>
      <c r="GU438" t="s">
        <v>3</v>
      </c>
      <c r="GV438">
        <f t="shared" si="418"/>
        <v>0</v>
      </c>
      <c r="GW438">
        <v>1</v>
      </c>
      <c r="GX438">
        <f t="shared" si="419"/>
        <v>0</v>
      </c>
      <c r="HA438">
        <v>0</v>
      </c>
      <c r="HB438">
        <v>0</v>
      </c>
      <c r="HC438">
        <f t="shared" si="420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D439">
        <f>ROW(EtalonRes!A328)</f>
        <v>328</v>
      </c>
      <c r="E439" t="s">
        <v>3</v>
      </c>
      <c r="F439" t="s">
        <v>444</v>
      </c>
      <c r="G439" t="s">
        <v>445</v>
      </c>
      <c r="H439" t="s">
        <v>17</v>
      </c>
      <c r="I439">
        <f>ROUND(ROUND((600+140+1860+20)*0.1/100,9),9)</f>
        <v>2.62</v>
      </c>
      <c r="J439">
        <v>0</v>
      </c>
      <c r="K439">
        <f>ROUND(ROUND((600+140+1860+20)*0.1/100,9),9)</f>
        <v>2.62</v>
      </c>
      <c r="O439">
        <f t="shared" si="381"/>
        <v>562.02</v>
      </c>
      <c r="P439">
        <f t="shared" si="382"/>
        <v>1</v>
      </c>
      <c r="Q439">
        <f t="shared" si="383"/>
        <v>0</v>
      </c>
      <c r="R439">
        <f t="shared" si="384"/>
        <v>0</v>
      </c>
      <c r="S439">
        <f t="shared" si="385"/>
        <v>561.02</v>
      </c>
      <c r="T439">
        <f t="shared" si="386"/>
        <v>0</v>
      </c>
      <c r="U439">
        <f t="shared" si="387"/>
        <v>1.048</v>
      </c>
      <c r="V439">
        <f t="shared" si="388"/>
        <v>0</v>
      </c>
      <c r="W439">
        <f t="shared" si="389"/>
        <v>0</v>
      </c>
      <c r="X439">
        <f t="shared" si="390"/>
        <v>392.71</v>
      </c>
      <c r="Y439">
        <f t="shared" si="391"/>
        <v>56.1</v>
      </c>
      <c r="AA439">
        <v>-1</v>
      </c>
      <c r="AB439">
        <f t="shared" si="392"/>
        <v>214.51</v>
      </c>
      <c r="AC439">
        <f t="shared" si="393"/>
        <v>0.38</v>
      </c>
      <c r="AD439">
        <f t="shared" si="394"/>
        <v>0</v>
      </c>
      <c r="AE439">
        <f t="shared" si="395"/>
        <v>0</v>
      </c>
      <c r="AF439">
        <f t="shared" si="396"/>
        <v>214.13</v>
      </c>
      <c r="AG439">
        <f t="shared" si="397"/>
        <v>0</v>
      </c>
      <c r="AH439">
        <f t="shared" si="398"/>
        <v>0.4</v>
      </c>
      <c r="AI439">
        <f t="shared" si="399"/>
        <v>0</v>
      </c>
      <c r="AJ439">
        <f t="shared" si="400"/>
        <v>0</v>
      </c>
      <c r="AK439">
        <v>214.51</v>
      </c>
      <c r="AL439">
        <v>0.38</v>
      </c>
      <c r="AM439">
        <v>0</v>
      </c>
      <c r="AN439">
        <v>0</v>
      </c>
      <c r="AO439">
        <v>214.13</v>
      </c>
      <c r="AP439">
        <v>0</v>
      </c>
      <c r="AQ439">
        <v>0.4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446</v>
      </c>
      <c r="BM439">
        <v>0</v>
      </c>
      <c r="BN439">
        <v>0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3</v>
      </c>
      <c r="CO439">
        <v>0</v>
      </c>
      <c r="CP439">
        <f t="shared" si="401"/>
        <v>562.02</v>
      </c>
      <c r="CQ439">
        <f t="shared" si="402"/>
        <v>0.38</v>
      </c>
      <c r="CR439">
        <f t="shared" si="403"/>
        <v>0</v>
      </c>
      <c r="CS439">
        <f t="shared" si="404"/>
        <v>0</v>
      </c>
      <c r="CT439">
        <f t="shared" si="405"/>
        <v>214.13</v>
      </c>
      <c r="CU439">
        <f t="shared" si="406"/>
        <v>0</v>
      </c>
      <c r="CV439">
        <f t="shared" si="407"/>
        <v>0.4</v>
      </c>
      <c r="CW439">
        <f t="shared" si="408"/>
        <v>0</v>
      </c>
      <c r="CX439">
        <f t="shared" si="409"/>
        <v>0</v>
      </c>
      <c r="CY439">
        <f t="shared" si="410"/>
        <v>392.714</v>
      </c>
      <c r="CZ439">
        <f t="shared" si="411"/>
        <v>56.101999999999997</v>
      </c>
      <c r="DC439" t="s">
        <v>3</v>
      </c>
      <c r="DD439" t="s">
        <v>3</v>
      </c>
      <c r="DE439" t="s">
        <v>3</v>
      </c>
      <c r="DF439" t="s">
        <v>3</v>
      </c>
      <c r="DG439" t="s">
        <v>3</v>
      </c>
      <c r="DH439" t="s">
        <v>3</v>
      </c>
      <c r="DI439" t="s">
        <v>3</v>
      </c>
      <c r="DJ439" t="s">
        <v>3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1003</v>
      </c>
      <c r="DV439" t="s">
        <v>17</v>
      </c>
      <c r="DW439" t="s">
        <v>17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1441815344</v>
      </c>
      <c r="EF439">
        <v>1</v>
      </c>
      <c r="EG439" t="s">
        <v>19</v>
      </c>
      <c r="EH439">
        <v>0</v>
      </c>
      <c r="EI439" t="s">
        <v>3</v>
      </c>
      <c r="EJ439">
        <v>4</v>
      </c>
      <c r="EK439">
        <v>0</v>
      </c>
      <c r="EL439" t="s">
        <v>20</v>
      </c>
      <c r="EM439" t="s">
        <v>21</v>
      </c>
      <c r="EO439" t="s">
        <v>3</v>
      </c>
      <c r="EQ439">
        <v>1024</v>
      </c>
      <c r="ER439">
        <v>214.51</v>
      </c>
      <c r="ES439">
        <v>0.38</v>
      </c>
      <c r="ET439">
        <v>0</v>
      </c>
      <c r="EU439">
        <v>0</v>
      </c>
      <c r="EV439">
        <v>214.13</v>
      </c>
      <c r="EW439">
        <v>0.4</v>
      </c>
      <c r="EX439">
        <v>0</v>
      </c>
      <c r="EY439">
        <v>0</v>
      </c>
      <c r="FQ439">
        <v>0</v>
      </c>
      <c r="FR439">
        <f t="shared" si="412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-1123411238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</v>
      </c>
      <c r="GL439">
        <f t="shared" si="413"/>
        <v>0</v>
      </c>
      <c r="GM439">
        <f t="shared" si="414"/>
        <v>1010.83</v>
      </c>
      <c r="GN439">
        <f t="shared" si="415"/>
        <v>0</v>
      </c>
      <c r="GO439">
        <f t="shared" si="416"/>
        <v>0</v>
      </c>
      <c r="GP439">
        <f t="shared" si="417"/>
        <v>1010.83</v>
      </c>
      <c r="GR439">
        <v>0</v>
      </c>
      <c r="GS439">
        <v>3</v>
      </c>
      <c r="GT439">
        <v>0</v>
      </c>
      <c r="GU439" t="s">
        <v>3</v>
      </c>
      <c r="GV439">
        <f t="shared" si="418"/>
        <v>0</v>
      </c>
      <c r="GW439">
        <v>1</v>
      </c>
      <c r="GX439">
        <f t="shared" si="419"/>
        <v>0</v>
      </c>
      <c r="HA439">
        <v>0</v>
      </c>
      <c r="HB439">
        <v>0</v>
      </c>
      <c r="HC439">
        <f t="shared" si="420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0" spans="1:245" x14ac:dyDescent="0.2">
      <c r="A440">
        <v>17</v>
      </c>
      <c r="B440">
        <v>1</v>
      </c>
      <c r="D440">
        <f>ROW(EtalonRes!A330)</f>
        <v>330</v>
      </c>
      <c r="E440" t="s">
        <v>447</v>
      </c>
      <c r="F440" t="s">
        <v>448</v>
      </c>
      <c r="G440" t="s">
        <v>449</v>
      </c>
      <c r="H440" t="s">
        <v>17</v>
      </c>
      <c r="I440">
        <f>ROUND(ROUND((415+175+210+560+25+30+80)*0.2*0.1/100,9),9)</f>
        <v>0.29899999999999999</v>
      </c>
      <c r="J440">
        <v>0</v>
      </c>
      <c r="K440">
        <f>ROUND(ROUND((415+175+210+560+25+30+80)*0.2*0.1/100,9),9)</f>
        <v>0.29899999999999999</v>
      </c>
      <c r="O440">
        <f t="shared" si="381"/>
        <v>2339.38</v>
      </c>
      <c r="P440">
        <f t="shared" si="382"/>
        <v>5.72</v>
      </c>
      <c r="Q440">
        <f t="shared" si="383"/>
        <v>0</v>
      </c>
      <c r="R440">
        <f t="shared" si="384"/>
        <v>0</v>
      </c>
      <c r="S440">
        <f t="shared" si="385"/>
        <v>2333.66</v>
      </c>
      <c r="T440">
        <f t="shared" si="386"/>
        <v>0</v>
      </c>
      <c r="U440">
        <f t="shared" si="387"/>
        <v>4.3594200000000001</v>
      </c>
      <c r="V440">
        <f t="shared" si="388"/>
        <v>0</v>
      </c>
      <c r="W440">
        <f t="shared" si="389"/>
        <v>0</v>
      </c>
      <c r="X440">
        <f t="shared" si="390"/>
        <v>1633.56</v>
      </c>
      <c r="Y440">
        <f t="shared" si="391"/>
        <v>233.37</v>
      </c>
      <c r="AA440">
        <v>1471988752</v>
      </c>
      <c r="AB440">
        <f t="shared" si="392"/>
        <v>7824.02</v>
      </c>
      <c r="AC440">
        <f t="shared" si="393"/>
        <v>19.13</v>
      </c>
      <c r="AD440">
        <f t="shared" si="394"/>
        <v>0</v>
      </c>
      <c r="AE440">
        <f t="shared" si="395"/>
        <v>0</v>
      </c>
      <c r="AF440">
        <f t="shared" si="396"/>
        <v>7804.89</v>
      </c>
      <c r="AG440">
        <f t="shared" si="397"/>
        <v>0</v>
      </c>
      <c r="AH440">
        <f t="shared" si="398"/>
        <v>14.58</v>
      </c>
      <c r="AI440">
        <f t="shared" si="399"/>
        <v>0</v>
      </c>
      <c r="AJ440">
        <f t="shared" si="400"/>
        <v>0</v>
      </c>
      <c r="AK440">
        <v>7824.02</v>
      </c>
      <c r="AL440">
        <v>19.13</v>
      </c>
      <c r="AM440">
        <v>0</v>
      </c>
      <c r="AN440">
        <v>0</v>
      </c>
      <c r="AO440">
        <v>7804.89</v>
      </c>
      <c r="AP440">
        <v>0</v>
      </c>
      <c r="AQ440">
        <v>14.58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450</v>
      </c>
      <c r="BM440">
        <v>0</v>
      </c>
      <c r="BN440">
        <v>0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 t="shared" si="401"/>
        <v>2339.3799999999997</v>
      </c>
      <c r="CQ440">
        <f t="shared" si="402"/>
        <v>19.13</v>
      </c>
      <c r="CR440">
        <f t="shared" si="403"/>
        <v>0</v>
      </c>
      <c r="CS440">
        <f t="shared" si="404"/>
        <v>0</v>
      </c>
      <c r="CT440">
        <f t="shared" si="405"/>
        <v>7804.89</v>
      </c>
      <c r="CU440">
        <f t="shared" si="406"/>
        <v>0</v>
      </c>
      <c r="CV440">
        <f t="shared" si="407"/>
        <v>14.58</v>
      </c>
      <c r="CW440">
        <f t="shared" si="408"/>
        <v>0</v>
      </c>
      <c r="CX440">
        <f t="shared" si="409"/>
        <v>0</v>
      </c>
      <c r="CY440">
        <f t="shared" si="410"/>
        <v>1633.5619999999999</v>
      </c>
      <c r="CZ440">
        <f t="shared" si="411"/>
        <v>233.36599999999999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1003</v>
      </c>
      <c r="DV440" t="s">
        <v>17</v>
      </c>
      <c r="DW440" t="s">
        <v>17</v>
      </c>
      <c r="DX440">
        <v>100</v>
      </c>
      <c r="DZ440" t="s">
        <v>3</v>
      </c>
      <c r="EA440" t="s">
        <v>3</v>
      </c>
      <c r="EB440" t="s">
        <v>3</v>
      </c>
      <c r="EC440" t="s">
        <v>3</v>
      </c>
      <c r="EE440">
        <v>1441815344</v>
      </c>
      <c r="EF440">
        <v>1</v>
      </c>
      <c r="EG440" t="s">
        <v>19</v>
      </c>
      <c r="EH440">
        <v>0</v>
      </c>
      <c r="EI440" t="s">
        <v>3</v>
      </c>
      <c r="EJ440">
        <v>4</v>
      </c>
      <c r="EK440">
        <v>0</v>
      </c>
      <c r="EL440" t="s">
        <v>20</v>
      </c>
      <c r="EM440" t="s">
        <v>21</v>
      </c>
      <c r="EO440" t="s">
        <v>3</v>
      </c>
      <c r="EQ440">
        <v>0</v>
      </c>
      <c r="ER440">
        <v>7824.02</v>
      </c>
      <c r="ES440">
        <v>19.13</v>
      </c>
      <c r="ET440">
        <v>0</v>
      </c>
      <c r="EU440">
        <v>0</v>
      </c>
      <c r="EV440">
        <v>7804.89</v>
      </c>
      <c r="EW440">
        <v>14.58</v>
      </c>
      <c r="EX440">
        <v>0</v>
      </c>
      <c r="EY440">
        <v>0</v>
      </c>
      <c r="FQ440">
        <v>0</v>
      </c>
      <c r="FR440">
        <f t="shared" si="412"/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1682623454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</v>
      </c>
      <c r="GL440">
        <f t="shared" si="413"/>
        <v>0</v>
      </c>
      <c r="GM440">
        <f t="shared" si="414"/>
        <v>4206.3100000000004</v>
      </c>
      <c r="GN440">
        <f t="shared" si="415"/>
        <v>0</v>
      </c>
      <c r="GO440">
        <f t="shared" si="416"/>
        <v>0</v>
      </c>
      <c r="GP440">
        <f t="shared" si="417"/>
        <v>4206.3100000000004</v>
      </c>
      <c r="GR440">
        <v>0</v>
      </c>
      <c r="GS440">
        <v>3</v>
      </c>
      <c r="GT440">
        <v>0</v>
      </c>
      <c r="GU440" t="s">
        <v>3</v>
      </c>
      <c r="GV440">
        <f t="shared" si="418"/>
        <v>0</v>
      </c>
      <c r="GW440">
        <v>1</v>
      </c>
      <c r="GX440">
        <f t="shared" si="419"/>
        <v>0</v>
      </c>
      <c r="HA440">
        <v>0</v>
      </c>
      <c r="HB440">
        <v>0</v>
      </c>
      <c r="HC440">
        <f t="shared" si="420"/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17</v>
      </c>
      <c r="B441">
        <v>1</v>
      </c>
      <c r="D441">
        <f>ROW(EtalonRes!A332)</f>
        <v>332</v>
      </c>
      <c r="E441" t="s">
        <v>451</v>
      </c>
      <c r="F441" t="s">
        <v>452</v>
      </c>
      <c r="G441" t="s">
        <v>453</v>
      </c>
      <c r="H441" t="s">
        <v>17</v>
      </c>
      <c r="I441">
        <f>ROUND(ROUND((415+175+210+560+25+30+80)*0.2*0.1/100,9),9)</f>
        <v>0.29899999999999999</v>
      </c>
      <c r="J441">
        <v>0</v>
      </c>
      <c r="K441">
        <f>ROUND(ROUND((415+175+210+560+25+30+80)*0.2*0.1/100,9),9)</f>
        <v>0.29899999999999999</v>
      </c>
      <c r="O441">
        <f t="shared" si="381"/>
        <v>519.82000000000005</v>
      </c>
      <c r="P441">
        <f t="shared" si="382"/>
        <v>1.23</v>
      </c>
      <c r="Q441">
        <f t="shared" si="383"/>
        <v>0</v>
      </c>
      <c r="R441">
        <f t="shared" si="384"/>
        <v>0</v>
      </c>
      <c r="S441">
        <f t="shared" si="385"/>
        <v>518.59</v>
      </c>
      <c r="T441">
        <f t="shared" si="386"/>
        <v>0</v>
      </c>
      <c r="U441">
        <f t="shared" si="387"/>
        <v>0.96876000000000007</v>
      </c>
      <c r="V441">
        <f t="shared" si="388"/>
        <v>0</v>
      </c>
      <c r="W441">
        <f t="shared" si="389"/>
        <v>0</v>
      </c>
      <c r="X441">
        <f t="shared" si="390"/>
        <v>363.01</v>
      </c>
      <c r="Y441">
        <f t="shared" si="391"/>
        <v>51.86</v>
      </c>
      <c r="AA441">
        <v>1471988752</v>
      </c>
      <c r="AB441">
        <f t="shared" si="392"/>
        <v>1738.55</v>
      </c>
      <c r="AC441">
        <f t="shared" si="393"/>
        <v>4.13</v>
      </c>
      <c r="AD441">
        <f t="shared" si="394"/>
        <v>0</v>
      </c>
      <c r="AE441">
        <f t="shared" si="395"/>
        <v>0</v>
      </c>
      <c r="AF441">
        <f t="shared" si="396"/>
        <v>1734.42</v>
      </c>
      <c r="AG441">
        <f t="shared" si="397"/>
        <v>0</v>
      </c>
      <c r="AH441">
        <f t="shared" si="398"/>
        <v>3.24</v>
      </c>
      <c r="AI441">
        <f t="shared" si="399"/>
        <v>0</v>
      </c>
      <c r="AJ441">
        <f t="shared" si="400"/>
        <v>0</v>
      </c>
      <c r="AK441">
        <v>1738.55</v>
      </c>
      <c r="AL441">
        <v>4.13</v>
      </c>
      <c r="AM441">
        <v>0</v>
      </c>
      <c r="AN441">
        <v>0</v>
      </c>
      <c r="AO441">
        <v>1734.42</v>
      </c>
      <c r="AP441">
        <v>0</v>
      </c>
      <c r="AQ441">
        <v>3.24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0</v>
      </c>
      <c r="BI441">
        <v>4</v>
      </c>
      <c r="BJ441" t="s">
        <v>454</v>
      </c>
      <c r="BM441">
        <v>0</v>
      </c>
      <c r="BN441">
        <v>0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 t="shared" si="401"/>
        <v>519.82000000000005</v>
      </c>
      <c r="CQ441">
        <f t="shared" si="402"/>
        <v>4.13</v>
      </c>
      <c r="CR441">
        <f t="shared" si="403"/>
        <v>0</v>
      </c>
      <c r="CS441">
        <f t="shared" si="404"/>
        <v>0</v>
      </c>
      <c r="CT441">
        <f t="shared" si="405"/>
        <v>1734.42</v>
      </c>
      <c r="CU441">
        <f t="shared" si="406"/>
        <v>0</v>
      </c>
      <c r="CV441">
        <f t="shared" si="407"/>
        <v>3.24</v>
      </c>
      <c r="CW441">
        <f t="shared" si="408"/>
        <v>0</v>
      </c>
      <c r="CX441">
        <f t="shared" si="409"/>
        <v>0</v>
      </c>
      <c r="CY441">
        <f t="shared" si="410"/>
        <v>363.01300000000003</v>
      </c>
      <c r="CZ441">
        <f t="shared" si="411"/>
        <v>51.859000000000009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1003</v>
      </c>
      <c r="DV441" t="s">
        <v>17</v>
      </c>
      <c r="DW441" t="s">
        <v>17</v>
      </c>
      <c r="DX441">
        <v>100</v>
      </c>
      <c r="DZ441" t="s">
        <v>3</v>
      </c>
      <c r="EA441" t="s">
        <v>3</v>
      </c>
      <c r="EB441" t="s">
        <v>3</v>
      </c>
      <c r="EC441" t="s">
        <v>3</v>
      </c>
      <c r="EE441">
        <v>1441815344</v>
      </c>
      <c r="EF441">
        <v>1</v>
      </c>
      <c r="EG441" t="s">
        <v>19</v>
      </c>
      <c r="EH441">
        <v>0</v>
      </c>
      <c r="EI441" t="s">
        <v>3</v>
      </c>
      <c r="EJ441">
        <v>4</v>
      </c>
      <c r="EK441">
        <v>0</v>
      </c>
      <c r="EL441" t="s">
        <v>20</v>
      </c>
      <c r="EM441" t="s">
        <v>21</v>
      </c>
      <c r="EO441" t="s">
        <v>3</v>
      </c>
      <c r="EQ441">
        <v>0</v>
      </c>
      <c r="ER441">
        <v>1738.55</v>
      </c>
      <c r="ES441">
        <v>4.13</v>
      </c>
      <c r="ET441">
        <v>0</v>
      </c>
      <c r="EU441">
        <v>0</v>
      </c>
      <c r="EV441">
        <v>1734.42</v>
      </c>
      <c r="EW441">
        <v>3.24</v>
      </c>
      <c r="EX441">
        <v>0</v>
      </c>
      <c r="EY441">
        <v>0</v>
      </c>
      <c r="FQ441">
        <v>0</v>
      </c>
      <c r="FR441">
        <f t="shared" si="412"/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-1798664512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 t="shared" si="413"/>
        <v>0</v>
      </c>
      <c r="GM441">
        <f t="shared" si="414"/>
        <v>934.69</v>
      </c>
      <c r="GN441">
        <f t="shared" si="415"/>
        <v>0</v>
      </c>
      <c r="GO441">
        <f t="shared" si="416"/>
        <v>0</v>
      </c>
      <c r="GP441">
        <f t="shared" si="417"/>
        <v>934.69</v>
      </c>
      <c r="GR441">
        <v>0</v>
      </c>
      <c r="GS441">
        <v>3</v>
      </c>
      <c r="GT441">
        <v>0</v>
      </c>
      <c r="GU441" t="s">
        <v>3</v>
      </c>
      <c r="GV441">
        <f t="shared" si="418"/>
        <v>0</v>
      </c>
      <c r="GW441">
        <v>1</v>
      </c>
      <c r="GX441">
        <f t="shared" si="419"/>
        <v>0</v>
      </c>
      <c r="HA441">
        <v>0</v>
      </c>
      <c r="HB441">
        <v>0</v>
      </c>
      <c r="HC441">
        <f t="shared" si="420"/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2" spans="1:245" x14ac:dyDescent="0.2">
      <c r="A442">
        <v>17</v>
      </c>
      <c r="B442">
        <v>1</v>
      </c>
      <c r="D442">
        <f>ROW(EtalonRes!A334)</f>
        <v>334</v>
      </c>
      <c r="E442" t="s">
        <v>3</v>
      </c>
      <c r="F442" t="s">
        <v>455</v>
      </c>
      <c r="G442" t="s">
        <v>456</v>
      </c>
      <c r="H442" t="s">
        <v>17</v>
      </c>
      <c r="I442">
        <f>ROUND(ROUND((415+175+210+560+25+30+80)*0.1/100,9),9)</f>
        <v>1.4950000000000001</v>
      </c>
      <c r="J442">
        <v>0</v>
      </c>
      <c r="K442">
        <f>ROUND(ROUND((415+175+210+560+25+30+80)*0.1/100,9),9)</f>
        <v>1.4950000000000001</v>
      </c>
      <c r="O442">
        <f t="shared" si="381"/>
        <v>393.27</v>
      </c>
      <c r="P442">
        <f t="shared" si="382"/>
        <v>1.1200000000000001</v>
      </c>
      <c r="Q442">
        <f t="shared" si="383"/>
        <v>0</v>
      </c>
      <c r="R442">
        <f t="shared" si="384"/>
        <v>0</v>
      </c>
      <c r="S442">
        <f t="shared" si="385"/>
        <v>392.15</v>
      </c>
      <c r="T442">
        <f t="shared" si="386"/>
        <v>0</v>
      </c>
      <c r="U442">
        <f t="shared" si="387"/>
        <v>0.73255000000000003</v>
      </c>
      <c r="V442">
        <f t="shared" si="388"/>
        <v>0</v>
      </c>
      <c r="W442">
        <f t="shared" si="389"/>
        <v>0</v>
      </c>
      <c r="X442">
        <f t="shared" si="390"/>
        <v>274.51</v>
      </c>
      <c r="Y442">
        <f t="shared" si="391"/>
        <v>39.22</v>
      </c>
      <c r="AA442">
        <v>-1</v>
      </c>
      <c r="AB442">
        <f t="shared" si="392"/>
        <v>263.06</v>
      </c>
      <c r="AC442">
        <f t="shared" si="393"/>
        <v>0.75</v>
      </c>
      <c r="AD442">
        <f t="shared" si="394"/>
        <v>0</v>
      </c>
      <c r="AE442">
        <f t="shared" si="395"/>
        <v>0</v>
      </c>
      <c r="AF442">
        <f t="shared" si="396"/>
        <v>262.31</v>
      </c>
      <c r="AG442">
        <f t="shared" si="397"/>
        <v>0</v>
      </c>
      <c r="AH442">
        <f t="shared" si="398"/>
        <v>0.49</v>
      </c>
      <c r="AI442">
        <f t="shared" si="399"/>
        <v>0</v>
      </c>
      <c r="AJ442">
        <f t="shared" si="400"/>
        <v>0</v>
      </c>
      <c r="AK442">
        <v>263.06</v>
      </c>
      <c r="AL442">
        <v>0.75</v>
      </c>
      <c r="AM442">
        <v>0</v>
      </c>
      <c r="AN442">
        <v>0</v>
      </c>
      <c r="AO442">
        <v>262.31</v>
      </c>
      <c r="AP442">
        <v>0</v>
      </c>
      <c r="AQ442">
        <v>0.49</v>
      </c>
      <c r="AR442">
        <v>0</v>
      </c>
      <c r="AS442">
        <v>0</v>
      </c>
      <c r="AT442">
        <v>70</v>
      </c>
      <c r="AU442">
        <v>10</v>
      </c>
      <c r="AV442">
        <v>1</v>
      </c>
      <c r="AW442">
        <v>1</v>
      </c>
      <c r="AZ442">
        <v>1</v>
      </c>
      <c r="BA442">
        <v>1</v>
      </c>
      <c r="BB442">
        <v>1</v>
      </c>
      <c r="BC442">
        <v>1</v>
      </c>
      <c r="BD442" t="s">
        <v>3</v>
      </c>
      <c r="BE442" t="s">
        <v>3</v>
      </c>
      <c r="BF442" t="s">
        <v>3</v>
      </c>
      <c r="BG442" t="s">
        <v>3</v>
      </c>
      <c r="BH442">
        <v>0</v>
      </c>
      <c r="BI442">
        <v>4</v>
      </c>
      <c r="BJ442" t="s">
        <v>457</v>
      </c>
      <c r="BM442">
        <v>0</v>
      </c>
      <c r="BN442">
        <v>0</v>
      </c>
      <c r="BO442" t="s">
        <v>3</v>
      </c>
      <c r="BP442">
        <v>0</v>
      </c>
      <c r="BQ442">
        <v>1</v>
      </c>
      <c r="BR442">
        <v>0</v>
      </c>
      <c r="BS442">
        <v>1</v>
      </c>
      <c r="BT442">
        <v>1</v>
      </c>
      <c r="BU442">
        <v>1</v>
      </c>
      <c r="BV442">
        <v>1</v>
      </c>
      <c r="BW442">
        <v>1</v>
      </c>
      <c r="BX442">
        <v>1</v>
      </c>
      <c r="BY442" t="s">
        <v>3</v>
      </c>
      <c r="BZ442">
        <v>70</v>
      </c>
      <c r="CA442">
        <v>10</v>
      </c>
      <c r="CB442" t="s">
        <v>3</v>
      </c>
      <c r="CE442">
        <v>0</v>
      </c>
      <c r="CF442">
        <v>0</v>
      </c>
      <c r="CG442">
        <v>0</v>
      </c>
      <c r="CM442">
        <v>0</v>
      </c>
      <c r="CN442" t="s">
        <v>3</v>
      </c>
      <c r="CO442">
        <v>0</v>
      </c>
      <c r="CP442">
        <f t="shared" si="401"/>
        <v>393.27</v>
      </c>
      <c r="CQ442">
        <f t="shared" si="402"/>
        <v>0.75</v>
      </c>
      <c r="CR442">
        <f t="shared" si="403"/>
        <v>0</v>
      </c>
      <c r="CS442">
        <f t="shared" si="404"/>
        <v>0</v>
      </c>
      <c r="CT442">
        <f t="shared" si="405"/>
        <v>262.31</v>
      </c>
      <c r="CU442">
        <f t="shared" si="406"/>
        <v>0</v>
      </c>
      <c r="CV442">
        <f t="shared" si="407"/>
        <v>0.49</v>
      </c>
      <c r="CW442">
        <f t="shared" si="408"/>
        <v>0</v>
      </c>
      <c r="CX442">
        <f t="shared" si="409"/>
        <v>0</v>
      </c>
      <c r="CY442">
        <f t="shared" si="410"/>
        <v>274.505</v>
      </c>
      <c r="CZ442">
        <f t="shared" si="411"/>
        <v>39.215000000000003</v>
      </c>
      <c r="DC442" t="s">
        <v>3</v>
      </c>
      <c r="DD442" t="s">
        <v>3</v>
      </c>
      <c r="DE442" t="s">
        <v>3</v>
      </c>
      <c r="DF442" t="s">
        <v>3</v>
      </c>
      <c r="DG442" t="s">
        <v>3</v>
      </c>
      <c r="DH442" t="s">
        <v>3</v>
      </c>
      <c r="DI442" t="s">
        <v>3</v>
      </c>
      <c r="DJ442" t="s">
        <v>3</v>
      </c>
      <c r="DK442" t="s">
        <v>3</v>
      </c>
      <c r="DL442" t="s">
        <v>3</v>
      </c>
      <c r="DM442" t="s">
        <v>3</v>
      </c>
      <c r="DN442">
        <v>0</v>
      </c>
      <c r="DO442">
        <v>0</v>
      </c>
      <c r="DP442">
        <v>1</v>
      </c>
      <c r="DQ442">
        <v>1</v>
      </c>
      <c r="DU442">
        <v>1003</v>
      </c>
      <c r="DV442" t="s">
        <v>17</v>
      </c>
      <c r="DW442" t="s">
        <v>17</v>
      </c>
      <c r="DX442">
        <v>100</v>
      </c>
      <c r="DZ442" t="s">
        <v>3</v>
      </c>
      <c r="EA442" t="s">
        <v>3</v>
      </c>
      <c r="EB442" t="s">
        <v>3</v>
      </c>
      <c r="EC442" t="s">
        <v>3</v>
      </c>
      <c r="EE442">
        <v>1441815344</v>
      </c>
      <c r="EF442">
        <v>1</v>
      </c>
      <c r="EG442" t="s">
        <v>19</v>
      </c>
      <c r="EH442">
        <v>0</v>
      </c>
      <c r="EI442" t="s">
        <v>3</v>
      </c>
      <c r="EJ442">
        <v>4</v>
      </c>
      <c r="EK442">
        <v>0</v>
      </c>
      <c r="EL442" t="s">
        <v>20</v>
      </c>
      <c r="EM442" t="s">
        <v>21</v>
      </c>
      <c r="EO442" t="s">
        <v>3</v>
      </c>
      <c r="EQ442">
        <v>1024</v>
      </c>
      <c r="ER442">
        <v>263.06</v>
      </c>
      <c r="ES442">
        <v>0.75</v>
      </c>
      <c r="ET442">
        <v>0</v>
      </c>
      <c r="EU442">
        <v>0</v>
      </c>
      <c r="EV442">
        <v>262.31</v>
      </c>
      <c r="EW442">
        <v>0.49</v>
      </c>
      <c r="EX442">
        <v>0</v>
      </c>
      <c r="EY442">
        <v>0</v>
      </c>
      <c r="FQ442">
        <v>0</v>
      </c>
      <c r="FR442">
        <f t="shared" si="412"/>
        <v>0</v>
      </c>
      <c r="FS442">
        <v>0</v>
      </c>
      <c r="FX442">
        <v>70</v>
      </c>
      <c r="FY442">
        <v>10</v>
      </c>
      <c r="GA442" t="s">
        <v>3</v>
      </c>
      <c r="GD442">
        <v>0</v>
      </c>
      <c r="GF442">
        <v>-1423982978</v>
      </c>
      <c r="GG442">
        <v>2</v>
      </c>
      <c r="GH442">
        <v>1</v>
      </c>
      <c r="GI442">
        <v>-2</v>
      </c>
      <c r="GJ442">
        <v>0</v>
      </c>
      <c r="GK442">
        <f>ROUND(R442*(R12)/100,2)</f>
        <v>0</v>
      </c>
      <c r="GL442">
        <f t="shared" si="413"/>
        <v>0</v>
      </c>
      <c r="GM442">
        <f t="shared" si="414"/>
        <v>707</v>
      </c>
      <c r="GN442">
        <f t="shared" si="415"/>
        <v>0</v>
      </c>
      <c r="GO442">
        <f t="shared" si="416"/>
        <v>0</v>
      </c>
      <c r="GP442">
        <f t="shared" si="417"/>
        <v>707</v>
      </c>
      <c r="GR442">
        <v>0</v>
      </c>
      <c r="GS442">
        <v>3</v>
      </c>
      <c r="GT442">
        <v>0</v>
      </c>
      <c r="GU442" t="s">
        <v>3</v>
      </c>
      <c r="GV442">
        <f t="shared" si="418"/>
        <v>0</v>
      </c>
      <c r="GW442">
        <v>1</v>
      </c>
      <c r="GX442">
        <f t="shared" si="419"/>
        <v>0</v>
      </c>
      <c r="HA442">
        <v>0</v>
      </c>
      <c r="HB442">
        <v>0</v>
      </c>
      <c r="HC442">
        <f t="shared" si="420"/>
        <v>0</v>
      </c>
      <c r="HE442" t="s">
        <v>3</v>
      </c>
      <c r="HF442" t="s">
        <v>3</v>
      </c>
      <c r="HM442" t="s">
        <v>3</v>
      </c>
      <c r="HN442" t="s">
        <v>3</v>
      </c>
      <c r="HO442" t="s">
        <v>3</v>
      </c>
      <c r="HP442" t="s">
        <v>3</v>
      </c>
      <c r="HQ442" t="s">
        <v>3</v>
      </c>
      <c r="IK442">
        <v>0</v>
      </c>
    </row>
    <row r="443" spans="1:245" x14ac:dyDescent="0.2">
      <c r="A443">
        <v>19</v>
      </c>
      <c r="B443">
        <v>1</v>
      </c>
      <c r="F443" t="s">
        <v>3</v>
      </c>
      <c r="G443" t="s">
        <v>458</v>
      </c>
      <c r="H443" t="s">
        <v>3</v>
      </c>
      <c r="AA443">
        <v>1</v>
      </c>
      <c r="IK443">
        <v>0</v>
      </c>
    </row>
    <row r="444" spans="1:245" x14ac:dyDescent="0.2">
      <c r="A444">
        <v>17</v>
      </c>
      <c r="B444">
        <v>1</v>
      </c>
      <c r="D444">
        <f>ROW(EtalonRes!A335)</f>
        <v>335</v>
      </c>
      <c r="E444" t="s">
        <v>459</v>
      </c>
      <c r="F444" t="s">
        <v>114</v>
      </c>
      <c r="G444" t="s">
        <v>460</v>
      </c>
      <c r="H444" t="s">
        <v>31</v>
      </c>
      <c r="I444">
        <v>2</v>
      </c>
      <c r="J444">
        <v>0</v>
      </c>
      <c r="K444">
        <v>2</v>
      </c>
      <c r="O444">
        <f t="shared" ref="O444:O449" si="421">ROUND(CP444,2)</f>
        <v>3262.96</v>
      </c>
      <c r="P444">
        <f t="shared" ref="P444:P449" si="422">ROUND(CQ444*I444,2)</f>
        <v>0</v>
      </c>
      <c r="Q444">
        <f t="shared" ref="Q444:Q449" si="423">ROUND(CR444*I444,2)</f>
        <v>0</v>
      </c>
      <c r="R444">
        <f t="shared" ref="R444:R449" si="424">ROUND(CS444*I444,2)</f>
        <v>0</v>
      </c>
      <c r="S444">
        <f t="shared" ref="S444:S449" si="425">ROUND(CT444*I444,2)</f>
        <v>3262.96</v>
      </c>
      <c r="T444">
        <f t="shared" ref="T444:T449" si="426">ROUND(CU444*I444,2)</f>
        <v>0</v>
      </c>
      <c r="U444">
        <f t="shared" ref="U444:U449" si="427">CV444*I444</f>
        <v>4.24</v>
      </c>
      <c r="V444">
        <f t="shared" ref="V444:V449" si="428">CW444*I444</f>
        <v>0</v>
      </c>
      <c r="W444">
        <f t="shared" ref="W444:W449" si="429">ROUND(CX444*I444,2)</f>
        <v>0</v>
      </c>
      <c r="X444">
        <f t="shared" ref="X444:Y449" si="430">ROUND(CY444,2)</f>
        <v>2284.0700000000002</v>
      </c>
      <c r="Y444">
        <f t="shared" si="430"/>
        <v>326.3</v>
      </c>
      <c r="AA444">
        <v>1471988752</v>
      </c>
      <c r="AB444">
        <f t="shared" ref="AB444:AB449" si="431">ROUND((AC444+AD444+AF444),6)</f>
        <v>1631.48</v>
      </c>
      <c r="AC444">
        <f>ROUND(((ES444*2)),6)</f>
        <v>0</v>
      </c>
      <c r="AD444">
        <f>ROUND(((((ET444*2))-((EU444*2)))+AE444),6)</f>
        <v>0</v>
      </c>
      <c r="AE444">
        <f>ROUND(((EU444*2)),6)</f>
        <v>0</v>
      </c>
      <c r="AF444">
        <f>ROUND(((EV444*2)),6)</f>
        <v>1631.48</v>
      </c>
      <c r="AG444">
        <f t="shared" ref="AG444:AG449" si="432">ROUND((AP444),6)</f>
        <v>0</v>
      </c>
      <c r="AH444">
        <f>((EW444*2))</f>
        <v>2.12</v>
      </c>
      <c r="AI444">
        <f>((EX444*2))</f>
        <v>0</v>
      </c>
      <c r="AJ444">
        <f t="shared" ref="AJ444:AJ449" si="433">(AS444)</f>
        <v>0</v>
      </c>
      <c r="AK444">
        <v>815.74</v>
      </c>
      <c r="AL444">
        <v>0</v>
      </c>
      <c r="AM444">
        <v>0</v>
      </c>
      <c r="AN444">
        <v>0</v>
      </c>
      <c r="AO444">
        <v>815.74</v>
      </c>
      <c r="AP444">
        <v>0</v>
      </c>
      <c r="AQ444">
        <v>1.06</v>
      </c>
      <c r="AR444">
        <v>0</v>
      </c>
      <c r="AS444">
        <v>0</v>
      </c>
      <c r="AT444">
        <v>70</v>
      </c>
      <c r="AU444">
        <v>10</v>
      </c>
      <c r="AV444">
        <v>1</v>
      </c>
      <c r="AW444">
        <v>1</v>
      </c>
      <c r="AZ444">
        <v>1</v>
      </c>
      <c r="BA444">
        <v>1</v>
      </c>
      <c r="BB444">
        <v>1</v>
      </c>
      <c r="BC444">
        <v>1</v>
      </c>
      <c r="BD444" t="s">
        <v>3</v>
      </c>
      <c r="BE444" t="s">
        <v>3</v>
      </c>
      <c r="BF444" t="s">
        <v>3</v>
      </c>
      <c r="BG444" t="s">
        <v>3</v>
      </c>
      <c r="BH444">
        <v>0</v>
      </c>
      <c r="BI444">
        <v>4</v>
      </c>
      <c r="BJ444" t="s">
        <v>116</v>
      </c>
      <c r="BM444">
        <v>0</v>
      </c>
      <c r="BN444">
        <v>0</v>
      </c>
      <c r="BO444" t="s">
        <v>3</v>
      </c>
      <c r="BP444">
        <v>0</v>
      </c>
      <c r="BQ444">
        <v>1</v>
      </c>
      <c r="BR444">
        <v>0</v>
      </c>
      <c r="BS444">
        <v>1</v>
      </c>
      <c r="BT444">
        <v>1</v>
      </c>
      <c r="BU444">
        <v>1</v>
      </c>
      <c r="BV444">
        <v>1</v>
      </c>
      <c r="BW444">
        <v>1</v>
      </c>
      <c r="BX444">
        <v>1</v>
      </c>
      <c r="BY444" t="s">
        <v>3</v>
      </c>
      <c r="BZ444">
        <v>70</v>
      </c>
      <c r="CA444">
        <v>10</v>
      </c>
      <c r="CB444" t="s">
        <v>3</v>
      </c>
      <c r="CE444">
        <v>0</v>
      </c>
      <c r="CF444">
        <v>0</v>
      </c>
      <c r="CG444">
        <v>0</v>
      </c>
      <c r="CM444">
        <v>0</v>
      </c>
      <c r="CN444" t="s">
        <v>3</v>
      </c>
      <c r="CO444">
        <v>0</v>
      </c>
      <c r="CP444">
        <f t="shared" ref="CP444:CP449" si="434">(P444+Q444+S444)</f>
        <v>3262.96</v>
      </c>
      <c r="CQ444">
        <f t="shared" ref="CQ444:CQ449" si="435">(AC444*BC444*AW444)</f>
        <v>0</v>
      </c>
      <c r="CR444">
        <f>(((((ET444*2))*BB444-((EU444*2))*BS444)+AE444*BS444)*AV444)</f>
        <v>0</v>
      </c>
      <c r="CS444">
        <f t="shared" ref="CS444:CS449" si="436">(AE444*BS444*AV444)</f>
        <v>0</v>
      </c>
      <c r="CT444">
        <f t="shared" ref="CT444:CT449" si="437">(AF444*BA444*AV444)</f>
        <v>1631.48</v>
      </c>
      <c r="CU444">
        <f t="shared" ref="CU444:CU449" si="438">AG444</f>
        <v>0</v>
      </c>
      <c r="CV444">
        <f t="shared" ref="CV444:CV449" si="439">(AH444*AV444)</f>
        <v>2.12</v>
      </c>
      <c r="CW444">
        <f t="shared" ref="CW444:CX449" si="440">AI444</f>
        <v>0</v>
      </c>
      <c r="CX444">
        <f t="shared" si="440"/>
        <v>0</v>
      </c>
      <c r="CY444">
        <f t="shared" ref="CY444:CY449" si="441">((S444*BZ444)/100)</f>
        <v>2284.0720000000001</v>
      </c>
      <c r="CZ444">
        <f t="shared" ref="CZ444:CZ449" si="442">((S444*CA444)/100)</f>
        <v>326.29599999999999</v>
      </c>
      <c r="DC444" t="s">
        <v>3</v>
      </c>
      <c r="DD444" t="s">
        <v>117</v>
      </c>
      <c r="DE444" t="s">
        <v>117</v>
      </c>
      <c r="DF444" t="s">
        <v>117</v>
      </c>
      <c r="DG444" t="s">
        <v>117</v>
      </c>
      <c r="DH444" t="s">
        <v>3</v>
      </c>
      <c r="DI444" t="s">
        <v>117</v>
      </c>
      <c r="DJ444" t="s">
        <v>117</v>
      </c>
      <c r="DK444" t="s">
        <v>3</v>
      </c>
      <c r="DL444" t="s">
        <v>3</v>
      </c>
      <c r="DM444" t="s">
        <v>3</v>
      </c>
      <c r="DN444">
        <v>0</v>
      </c>
      <c r="DO444">
        <v>0</v>
      </c>
      <c r="DP444">
        <v>1</v>
      </c>
      <c r="DQ444">
        <v>1</v>
      </c>
      <c r="DU444">
        <v>16987630</v>
      </c>
      <c r="DV444" t="s">
        <v>31</v>
      </c>
      <c r="DW444" t="s">
        <v>31</v>
      </c>
      <c r="DX444">
        <v>1</v>
      </c>
      <c r="DZ444" t="s">
        <v>3</v>
      </c>
      <c r="EA444" t="s">
        <v>3</v>
      </c>
      <c r="EB444" t="s">
        <v>3</v>
      </c>
      <c r="EC444" t="s">
        <v>3</v>
      </c>
      <c r="EE444">
        <v>1441815344</v>
      </c>
      <c r="EF444">
        <v>1</v>
      </c>
      <c r="EG444" t="s">
        <v>19</v>
      </c>
      <c r="EH444">
        <v>0</v>
      </c>
      <c r="EI444" t="s">
        <v>3</v>
      </c>
      <c r="EJ444">
        <v>4</v>
      </c>
      <c r="EK444">
        <v>0</v>
      </c>
      <c r="EL444" t="s">
        <v>20</v>
      </c>
      <c r="EM444" t="s">
        <v>21</v>
      </c>
      <c r="EO444" t="s">
        <v>3</v>
      </c>
      <c r="EQ444">
        <v>0</v>
      </c>
      <c r="ER444">
        <v>815.74</v>
      </c>
      <c r="ES444">
        <v>0</v>
      </c>
      <c r="ET444">
        <v>0</v>
      </c>
      <c r="EU444">
        <v>0</v>
      </c>
      <c r="EV444">
        <v>815.74</v>
      </c>
      <c r="EW444">
        <v>1.06</v>
      </c>
      <c r="EX444">
        <v>0</v>
      </c>
      <c r="EY444">
        <v>0</v>
      </c>
      <c r="FQ444">
        <v>0</v>
      </c>
      <c r="FR444">
        <f t="shared" ref="FR444:FR449" si="443">ROUND(IF(BI444=3,GM444,0),2)</f>
        <v>0</v>
      </c>
      <c r="FS444">
        <v>0</v>
      </c>
      <c r="FX444">
        <v>70</v>
      </c>
      <c r="FY444">
        <v>10</v>
      </c>
      <c r="GA444" t="s">
        <v>3</v>
      </c>
      <c r="GD444">
        <v>0</v>
      </c>
      <c r="GF444">
        <v>-853724858</v>
      </c>
      <c r="GG444">
        <v>2</v>
      </c>
      <c r="GH444">
        <v>1</v>
      </c>
      <c r="GI444">
        <v>-2</v>
      </c>
      <c r="GJ444">
        <v>0</v>
      </c>
      <c r="GK444">
        <f>ROUND(R444*(R12)/100,2)</f>
        <v>0</v>
      </c>
      <c r="GL444">
        <f t="shared" ref="GL444:GL449" si="444">ROUND(IF(AND(BH444=3,BI444=3,FS444&lt;&gt;0),P444,0),2)</f>
        <v>0</v>
      </c>
      <c r="GM444">
        <f t="shared" ref="GM444:GM449" si="445">ROUND(O444+X444+Y444+GK444,2)+GX444</f>
        <v>5873.33</v>
      </c>
      <c r="GN444">
        <f t="shared" ref="GN444:GN449" si="446">IF(OR(BI444=0,BI444=1),GM444-GX444,0)</f>
        <v>0</v>
      </c>
      <c r="GO444">
        <f t="shared" ref="GO444:GO449" si="447">IF(BI444=2,GM444-GX444,0)</f>
        <v>0</v>
      </c>
      <c r="GP444">
        <f t="shared" ref="GP444:GP449" si="448">IF(BI444=4,GM444-GX444,0)</f>
        <v>5873.33</v>
      </c>
      <c r="GR444">
        <v>0</v>
      </c>
      <c r="GS444">
        <v>3</v>
      </c>
      <c r="GT444">
        <v>0</v>
      </c>
      <c r="GU444" t="s">
        <v>3</v>
      </c>
      <c r="GV444">
        <f t="shared" ref="GV444:GV449" si="449">ROUND((GT444),6)</f>
        <v>0</v>
      </c>
      <c r="GW444">
        <v>1</v>
      </c>
      <c r="GX444">
        <f t="shared" ref="GX444:GX449" si="450">ROUND(HC444*I444,2)</f>
        <v>0</v>
      </c>
      <c r="HA444">
        <v>0</v>
      </c>
      <c r="HB444">
        <v>0</v>
      </c>
      <c r="HC444">
        <f t="shared" ref="HC444:HC449" si="451">GV444*GW444</f>
        <v>0</v>
      </c>
      <c r="HE444" t="s">
        <v>3</v>
      </c>
      <c r="HF444" t="s">
        <v>3</v>
      </c>
      <c r="HM444" t="s">
        <v>3</v>
      </c>
      <c r="HN444" t="s">
        <v>3</v>
      </c>
      <c r="HO444" t="s">
        <v>3</v>
      </c>
      <c r="HP444" t="s">
        <v>3</v>
      </c>
      <c r="HQ444" t="s">
        <v>3</v>
      </c>
      <c r="IK444">
        <v>0</v>
      </c>
    </row>
    <row r="445" spans="1:245" x14ac:dyDescent="0.2">
      <c r="A445">
        <v>17</v>
      </c>
      <c r="B445">
        <v>1</v>
      </c>
      <c r="D445">
        <f>ROW(EtalonRes!A339)</f>
        <v>339</v>
      </c>
      <c r="E445" t="s">
        <v>3</v>
      </c>
      <c r="F445" t="s">
        <v>461</v>
      </c>
      <c r="G445" t="s">
        <v>462</v>
      </c>
      <c r="H445" t="s">
        <v>31</v>
      </c>
      <c r="I445">
        <f>ROUND(30+2,9)</f>
        <v>32</v>
      </c>
      <c r="J445">
        <v>0</v>
      </c>
      <c r="K445">
        <f>ROUND(30+2,9)</f>
        <v>32</v>
      </c>
      <c r="O445">
        <f t="shared" si="421"/>
        <v>19161.919999999998</v>
      </c>
      <c r="P445">
        <f t="shared" si="422"/>
        <v>192.64</v>
      </c>
      <c r="Q445">
        <f t="shared" si="423"/>
        <v>0</v>
      </c>
      <c r="R445">
        <f t="shared" si="424"/>
        <v>0</v>
      </c>
      <c r="S445">
        <f t="shared" si="425"/>
        <v>18969.28</v>
      </c>
      <c r="T445">
        <f t="shared" si="426"/>
        <v>0</v>
      </c>
      <c r="U445">
        <f t="shared" si="427"/>
        <v>30.72</v>
      </c>
      <c r="V445">
        <f t="shared" si="428"/>
        <v>0</v>
      </c>
      <c r="W445">
        <f t="shared" si="429"/>
        <v>0</v>
      </c>
      <c r="X445">
        <f t="shared" si="430"/>
        <v>13278.5</v>
      </c>
      <c r="Y445">
        <f t="shared" si="430"/>
        <v>1896.93</v>
      </c>
      <c r="AA445">
        <v>-1</v>
      </c>
      <c r="AB445">
        <f t="shared" si="431"/>
        <v>598.80999999999995</v>
      </c>
      <c r="AC445">
        <f>ROUND((ES445),6)</f>
        <v>6.02</v>
      </c>
      <c r="AD445">
        <f>ROUND((((ET445)-(EU445))+AE445),6)</f>
        <v>0</v>
      </c>
      <c r="AE445">
        <f>ROUND((EU445),6)</f>
        <v>0</v>
      </c>
      <c r="AF445">
        <f>ROUND((EV445),6)</f>
        <v>592.79</v>
      </c>
      <c r="AG445">
        <f t="shared" si="432"/>
        <v>0</v>
      </c>
      <c r="AH445">
        <f>(EW445)</f>
        <v>0.96</v>
      </c>
      <c r="AI445">
        <f>(EX445)</f>
        <v>0</v>
      </c>
      <c r="AJ445">
        <f t="shared" si="433"/>
        <v>0</v>
      </c>
      <c r="AK445">
        <v>598.80999999999995</v>
      </c>
      <c r="AL445">
        <v>6.02</v>
      </c>
      <c r="AM445">
        <v>0</v>
      </c>
      <c r="AN445">
        <v>0</v>
      </c>
      <c r="AO445">
        <v>592.79</v>
      </c>
      <c r="AP445">
        <v>0</v>
      </c>
      <c r="AQ445">
        <v>0.96</v>
      </c>
      <c r="AR445">
        <v>0</v>
      </c>
      <c r="AS445">
        <v>0</v>
      </c>
      <c r="AT445">
        <v>70</v>
      </c>
      <c r="AU445">
        <v>10</v>
      </c>
      <c r="AV445">
        <v>1</v>
      </c>
      <c r="AW445">
        <v>1</v>
      </c>
      <c r="AZ445">
        <v>1</v>
      </c>
      <c r="BA445">
        <v>1</v>
      </c>
      <c r="BB445">
        <v>1</v>
      </c>
      <c r="BC445">
        <v>1</v>
      </c>
      <c r="BD445" t="s">
        <v>3</v>
      </c>
      <c r="BE445" t="s">
        <v>3</v>
      </c>
      <c r="BF445" t="s">
        <v>3</v>
      </c>
      <c r="BG445" t="s">
        <v>3</v>
      </c>
      <c r="BH445">
        <v>0</v>
      </c>
      <c r="BI445">
        <v>4</v>
      </c>
      <c r="BJ445" t="s">
        <v>463</v>
      </c>
      <c r="BM445">
        <v>0</v>
      </c>
      <c r="BN445">
        <v>0</v>
      </c>
      <c r="BO445" t="s">
        <v>3</v>
      </c>
      <c r="BP445">
        <v>0</v>
      </c>
      <c r="BQ445">
        <v>1</v>
      </c>
      <c r="BR445">
        <v>0</v>
      </c>
      <c r="BS445">
        <v>1</v>
      </c>
      <c r="BT445">
        <v>1</v>
      </c>
      <c r="BU445">
        <v>1</v>
      </c>
      <c r="BV445">
        <v>1</v>
      </c>
      <c r="BW445">
        <v>1</v>
      </c>
      <c r="BX445">
        <v>1</v>
      </c>
      <c r="BY445" t="s">
        <v>3</v>
      </c>
      <c r="BZ445">
        <v>70</v>
      </c>
      <c r="CA445">
        <v>10</v>
      </c>
      <c r="CB445" t="s">
        <v>3</v>
      </c>
      <c r="CE445">
        <v>0</v>
      </c>
      <c r="CF445">
        <v>0</v>
      </c>
      <c r="CG445">
        <v>0</v>
      </c>
      <c r="CM445">
        <v>0</v>
      </c>
      <c r="CN445" t="s">
        <v>3</v>
      </c>
      <c r="CO445">
        <v>0</v>
      </c>
      <c r="CP445">
        <f t="shared" si="434"/>
        <v>19161.919999999998</v>
      </c>
      <c r="CQ445">
        <f t="shared" si="435"/>
        <v>6.02</v>
      </c>
      <c r="CR445">
        <f>((((ET445)*BB445-(EU445)*BS445)+AE445*BS445)*AV445)</f>
        <v>0</v>
      </c>
      <c r="CS445">
        <f t="shared" si="436"/>
        <v>0</v>
      </c>
      <c r="CT445">
        <f t="shared" si="437"/>
        <v>592.79</v>
      </c>
      <c r="CU445">
        <f t="shared" si="438"/>
        <v>0</v>
      </c>
      <c r="CV445">
        <f t="shared" si="439"/>
        <v>0.96</v>
      </c>
      <c r="CW445">
        <f t="shared" si="440"/>
        <v>0</v>
      </c>
      <c r="CX445">
        <f t="shared" si="440"/>
        <v>0</v>
      </c>
      <c r="CY445">
        <f t="shared" si="441"/>
        <v>13278.495999999999</v>
      </c>
      <c r="CZ445">
        <f t="shared" si="442"/>
        <v>1896.9279999999999</v>
      </c>
      <c r="DC445" t="s">
        <v>3</v>
      </c>
      <c r="DD445" t="s">
        <v>3</v>
      </c>
      <c r="DE445" t="s">
        <v>3</v>
      </c>
      <c r="DF445" t="s">
        <v>3</v>
      </c>
      <c r="DG445" t="s">
        <v>3</v>
      </c>
      <c r="DH445" t="s">
        <v>3</v>
      </c>
      <c r="DI445" t="s">
        <v>3</v>
      </c>
      <c r="DJ445" t="s">
        <v>3</v>
      </c>
      <c r="DK445" t="s">
        <v>3</v>
      </c>
      <c r="DL445" t="s">
        <v>3</v>
      </c>
      <c r="DM445" t="s">
        <v>3</v>
      </c>
      <c r="DN445">
        <v>0</v>
      </c>
      <c r="DO445">
        <v>0</v>
      </c>
      <c r="DP445">
        <v>1</v>
      </c>
      <c r="DQ445">
        <v>1</v>
      </c>
      <c r="DU445">
        <v>16987630</v>
      </c>
      <c r="DV445" t="s">
        <v>31</v>
      </c>
      <c r="DW445" t="s">
        <v>31</v>
      </c>
      <c r="DX445">
        <v>1</v>
      </c>
      <c r="DZ445" t="s">
        <v>3</v>
      </c>
      <c r="EA445" t="s">
        <v>3</v>
      </c>
      <c r="EB445" t="s">
        <v>3</v>
      </c>
      <c r="EC445" t="s">
        <v>3</v>
      </c>
      <c r="EE445">
        <v>1441815344</v>
      </c>
      <c r="EF445">
        <v>1</v>
      </c>
      <c r="EG445" t="s">
        <v>19</v>
      </c>
      <c r="EH445">
        <v>0</v>
      </c>
      <c r="EI445" t="s">
        <v>3</v>
      </c>
      <c r="EJ445">
        <v>4</v>
      </c>
      <c r="EK445">
        <v>0</v>
      </c>
      <c r="EL445" t="s">
        <v>20</v>
      </c>
      <c r="EM445" t="s">
        <v>21</v>
      </c>
      <c r="EO445" t="s">
        <v>3</v>
      </c>
      <c r="EQ445">
        <v>1311744</v>
      </c>
      <c r="ER445">
        <v>598.80999999999995</v>
      </c>
      <c r="ES445">
        <v>6.02</v>
      </c>
      <c r="ET445">
        <v>0</v>
      </c>
      <c r="EU445">
        <v>0</v>
      </c>
      <c r="EV445">
        <v>592.79</v>
      </c>
      <c r="EW445">
        <v>0.96</v>
      </c>
      <c r="EX445">
        <v>0</v>
      </c>
      <c r="EY445">
        <v>0</v>
      </c>
      <c r="FQ445">
        <v>0</v>
      </c>
      <c r="FR445">
        <f t="shared" si="443"/>
        <v>0</v>
      </c>
      <c r="FS445">
        <v>0</v>
      </c>
      <c r="FX445">
        <v>70</v>
      </c>
      <c r="FY445">
        <v>10</v>
      </c>
      <c r="GA445" t="s">
        <v>3</v>
      </c>
      <c r="GD445">
        <v>0</v>
      </c>
      <c r="GF445">
        <v>-182643255</v>
      </c>
      <c r="GG445">
        <v>2</v>
      </c>
      <c r="GH445">
        <v>1</v>
      </c>
      <c r="GI445">
        <v>-2</v>
      </c>
      <c r="GJ445">
        <v>0</v>
      </c>
      <c r="GK445">
        <f>ROUND(R445*(R12)/100,2)</f>
        <v>0</v>
      </c>
      <c r="GL445">
        <f t="shared" si="444"/>
        <v>0</v>
      </c>
      <c r="GM445">
        <f t="shared" si="445"/>
        <v>34337.35</v>
      </c>
      <c r="GN445">
        <f t="shared" si="446"/>
        <v>0</v>
      </c>
      <c r="GO445">
        <f t="shared" si="447"/>
        <v>0</v>
      </c>
      <c r="GP445">
        <f t="shared" si="448"/>
        <v>34337.35</v>
      </c>
      <c r="GR445">
        <v>0</v>
      </c>
      <c r="GS445">
        <v>3</v>
      </c>
      <c r="GT445">
        <v>0</v>
      </c>
      <c r="GU445" t="s">
        <v>3</v>
      </c>
      <c r="GV445">
        <f t="shared" si="449"/>
        <v>0</v>
      </c>
      <c r="GW445">
        <v>1</v>
      </c>
      <c r="GX445">
        <f t="shared" si="450"/>
        <v>0</v>
      </c>
      <c r="HA445">
        <v>0</v>
      </c>
      <c r="HB445">
        <v>0</v>
      </c>
      <c r="HC445">
        <f t="shared" si="451"/>
        <v>0</v>
      </c>
      <c r="HE445" t="s">
        <v>3</v>
      </c>
      <c r="HF445" t="s">
        <v>3</v>
      </c>
      <c r="HM445" t="s">
        <v>3</v>
      </c>
      <c r="HN445" t="s">
        <v>3</v>
      </c>
      <c r="HO445" t="s">
        <v>3</v>
      </c>
      <c r="HP445" t="s">
        <v>3</v>
      </c>
      <c r="HQ445" t="s">
        <v>3</v>
      </c>
      <c r="IK445">
        <v>0</v>
      </c>
    </row>
    <row r="446" spans="1:245" x14ac:dyDescent="0.2">
      <c r="A446">
        <v>17</v>
      </c>
      <c r="B446">
        <v>1</v>
      </c>
      <c r="D446">
        <f>ROW(EtalonRes!A340)</f>
        <v>340</v>
      </c>
      <c r="E446" t="s">
        <v>464</v>
      </c>
      <c r="F446" t="s">
        <v>465</v>
      </c>
      <c r="G446" t="s">
        <v>466</v>
      </c>
      <c r="H446" t="s">
        <v>31</v>
      </c>
      <c r="I446">
        <v>2</v>
      </c>
      <c r="J446">
        <v>0</v>
      </c>
      <c r="K446">
        <v>2</v>
      </c>
      <c r="O446">
        <f t="shared" si="421"/>
        <v>2025.36</v>
      </c>
      <c r="P446">
        <f t="shared" si="422"/>
        <v>0</v>
      </c>
      <c r="Q446">
        <f t="shared" si="423"/>
        <v>0</v>
      </c>
      <c r="R446">
        <f t="shared" si="424"/>
        <v>0</v>
      </c>
      <c r="S446">
        <f t="shared" si="425"/>
        <v>2025.36</v>
      </c>
      <c r="T446">
        <f t="shared" si="426"/>
        <v>0</v>
      </c>
      <c r="U446">
        <f t="shared" si="427"/>
        <v>3.28</v>
      </c>
      <c r="V446">
        <f t="shared" si="428"/>
        <v>0</v>
      </c>
      <c r="W446">
        <f t="shared" si="429"/>
        <v>0</v>
      </c>
      <c r="X446">
        <f t="shared" si="430"/>
        <v>1417.75</v>
      </c>
      <c r="Y446">
        <f t="shared" si="430"/>
        <v>202.54</v>
      </c>
      <c r="AA446">
        <v>1471988752</v>
      </c>
      <c r="AB446">
        <f t="shared" si="431"/>
        <v>1012.68</v>
      </c>
      <c r="AC446">
        <f>ROUND(((ES446*2)),6)</f>
        <v>0</v>
      </c>
      <c r="AD446">
        <f>ROUND(((((ET446*2))-((EU446*2)))+AE446),6)</f>
        <v>0</v>
      </c>
      <c r="AE446">
        <f>ROUND(((EU446*2)),6)</f>
        <v>0</v>
      </c>
      <c r="AF446">
        <f>ROUND(((EV446*2)),6)</f>
        <v>1012.68</v>
      </c>
      <c r="AG446">
        <f t="shared" si="432"/>
        <v>0</v>
      </c>
      <c r="AH446">
        <f>((EW446*2))</f>
        <v>1.64</v>
      </c>
      <c r="AI446">
        <f>((EX446*2))</f>
        <v>0</v>
      </c>
      <c r="AJ446">
        <f t="shared" si="433"/>
        <v>0</v>
      </c>
      <c r="AK446">
        <v>506.34</v>
      </c>
      <c r="AL446">
        <v>0</v>
      </c>
      <c r="AM446">
        <v>0</v>
      </c>
      <c r="AN446">
        <v>0</v>
      </c>
      <c r="AO446">
        <v>506.34</v>
      </c>
      <c r="AP446">
        <v>0</v>
      </c>
      <c r="AQ446">
        <v>0.82</v>
      </c>
      <c r="AR446">
        <v>0</v>
      </c>
      <c r="AS446">
        <v>0</v>
      </c>
      <c r="AT446">
        <v>70</v>
      </c>
      <c r="AU446">
        <v>10</v>
      </c>
      <c r="AV446">
        <v>1</v>
      </c>
      <c r="AW446">
        <v>1</v>
      </c>
      <c r="AZ446">
        <v>1</v>
      </c>
      <c r="BA446">
        <v>1</v>
      </c>
      <c r="BB446">
        <v>1</v>
      </c>
      <c r="BC446">
        <v>1</v>
      </c>
      <c r="BD446" t="s">
        <v>3</v>
      </c>
      <c r="BE446" t="s">
        <v>3</v>
      </c>
      <c r="BF446" t="s">
        <v>3</v>
      </c>
      <c r="BG446" t="s">
        <v>3</v>
      </c>
      <c r="BH446">
        <v>0</v>
      </c>
      <c r="BI446">
        <v>4</v>
      </c>
      <c r="BJ446" t="s">
        <v>467</v>
      </c>
      <c r="BM446">
        <v>0</v>
      </c>
      <c r="BN446">
        <v>0</v>
      </c>
      <c r="BO446" t="s">
        <v>3</v>
      </c>
      <c r="BP446">
        <v>0</v>
      </c>
      <c r="BQ446">
        <v>1</v>
      </c>
      <c r="BR446">
        <v>0</v>
      </c>
      <c r="BS446">
        <v>1</v>
      </c>
      <c r="BT446">
        <v>1</v>
      </c>
      <c r="BU446">
        <v>1</v>
      </c>
      <c r="BV446">
        <v>1</v>
      </c>
      <c r="BW446">
        <v>1</v>
      </c>
      <c r="BX446">
        <v>1</v>
      </c>
      <c r="BY446" t="s">
        <v>3</v>
      </c>
      <c r="BZ446">
        <v>70</v>
      </c>
      <c r="CA446">
        <v>10</v>
      </c>
      <c r="CB446" t="s">
        <v>3</v>
      </c>
      <c r="CE446">
        <v>0</v>
      </c>
      <c r="CF446">
        <v>0</v>
      </c>
      <c r="CG446">
        <v>0</v>
      </c>
      <c r="CM446">
        <v>0</v>
      </c>
      <c r="CN446" t="s">
        <v>3</v>
      </c>
      <c r="CO446">
        <v>0</v>
      </c>
      <c r="CP446">
        <f t="shared" si="434"/>
        <v>2025.36</v>
      </c>
      <c r="CQ446">
        <f t="shared" si="435"/>
        <v>0</v>
      </c>
      <c r="CR446">
        <f>(((((ET446*2))*BB446-((EU446*2))*BS446)+AE446*BS446)*AV446)</f>
        <v>0</v>
      </c>
      <c r="CS446">
        <f t="shared" si="436"/>
        <v>0</v>
      </c>
      <c r="CT446">
        <f t="shared" si="437"/>
        <v>1012.68</v>
      </c>
      <c r="CU446">
        <f t="shared" si="438"/>
        <v>0</v>
      </c>
      <c r="CV446">
        <f t="shared" si="439"/>
        <v>1.64</v>
      </c>
      <c r="CW446">
        <f t="shared" si="440"/>
        <v>0</v>
      </c>
      <c r="CX446">
        <f t="shared" si="440"/>
        <v>0</v>
      </c>
      <c r="CY446">
        <f t="shared" si="441"/>
        <v>1417.7519999999997</v>
      </c>
      <c r="CZ446">
        <f t="shared" si="442"/>
        <v>202.53599999999997</v>
      </c>
      <c r="DC446" t="s">
        <v>3</v>
      </c>
      <c r="DD446" t="s">
        <v>117</v>
      </c>
      <c r="DE446" t="s">
        <v>117</v>
      </c>
      <c r="DF446" t="s">
        <v>117</v>
      </c>
      <c r="DG446" t="s">
        <v>117</v>
      </c>
      <c r="DH446" t="s">
        <v>3</v>
      </c>
      <c r="DI446" t="s">
        <v>117</v>
      </c>
      <c r="DJ446" t="s">
        <v>117</v>
      </c>
      <c r="DK446" t="s">
        <v>3</v>
      </c>
      <c r="DL446" t="s">
        <v>3</v>
      </c>
      <c r="DM446" t="s">
        <v>3</v>
      </c>
      <c r="DN446">
        <v>0</v>
      </c>
      <c r="DO446">
        <v>0</v>
      </c>
      <c r="DP446">
        <v>1</v>
      </c>
      <c r="DQ446">
        <v>1</v>
      </c>
      <c r="DU446">
        <v>16987630</v>
      </c>
      <c r="DV446" t="s">
        <v>31</v>
      </c>
      <c r="DW446" t="s">
        <v>31</v>
      </c>
      <c r="DX446">
        <v>1</v>
      </c>
      <c r="DZ446" t="s">
        <v>3</v>
      </c>
      <c r="EA446" t="s">
        <v>3</v>
      </c>
      <c r="EB446" t="s">
        <v>3</v>
      </c>
      <c r="EC446" t="s">
        <v>3</v>
      </c>
      <c r="EE446">
        <v>1441815344</v>
      </c>
      <c r="EF446">
        <v>1</v>
      </c>
      <c r="EG446" t="s">
        <v>19</v>
      </c>
      <c r="EH446">
        <v>0</v>
      </c>
      <c r="EI446" t="s">
        <v>3</v>
      </c>
      <c r="EJ446">
        <v>4</v>
      </c>
      <c r="EK446">
        <v>0</v>
      </c>
      <c r="EL446" t="s">
        <v>20</v>
      </c>
      <c r="EM446" t="s">
        <v>21</v>
      </c>
      <c r="EO446" t="s">
        <v>3</v>
      </c>
      <c r="EQ446">
        <v>0</v>
      </c>
      <c r="ER446">
        <v>506.34</v>
      </c>
      <c r="ES446">
        <v>0</v>
      </c>
      <c r="ET446">
        <v>0</v>
      </c>
      <c r="EU446">
        <v>0</v>
      </c>
      <c r="EV446">
        <v>506.34</v>
      </c>
      <c r="EW446">
        <v>0.82</v>
      </c>
      <c r="EX446">
        <v>0</v>
      </c>
      <c r="EY446">
        <v>0</v>
      </c>
      <c r="FQ446">
        <v>0</v>
      </c>
      <c r="FR446">
        <f t="shared" si="443"/>
        <v>0</v>
      </c>
      <c r="FS446">
        <v>0</v>
      </c>
      <c r="FX446">
        <v>70</v>
      </c>
      <c r="FY446">
        <v>10</v>
      </c>
      <c r="GA446" t="s">
        <v>3</v>
      </c>
      <c r="GD446">
        <v>0</v>
      </c>
      <c r="GF446">
        <v>-2136611187</v>
      </c>
      <c r="GG446">
        <v>2</v>
      </c>
      <c r="GH446">
        <v>1</v>
      </c>
      <c r="GI446">
        <v>-2</v>
      </c>
      <c r="GJ446">
        <v>0</v>
      </c>
      <c r="GK446">
        <f>ROUND(R446*(R12)/100,2)</f>
        <v>0</v>
      </c>
      <c r="GL446">
        <f t="shared" si="444"/>
        <v>0</v>
      </c>
      <c r="GM446">
        <f t="shared" si="445"/>
        <v>3645.65</v>
      </c>
      <c r="GN446">
        <f t="shared" si="446"/>
        <v>0</v>
      </c>
      <c r="GO446">
        <f t="shared" si="447"/>
        <v>0</v>
      </c>
      <c r="GP446">
        <f t="shared" si="448"/>
        <v>3645.65</v>
      </c>
      <c r="GR446">
        <v>0</v>
      </c>
      <c r="GS446">
        <v>3</v>
      </c>
      <c r="GT446">
        <v>0</v>
      </c>
      <c r="GU446" t="s">
        <v>3</v>
      </c>
      <c r="GV446">
        <f t="shared" si="449"/>
        <v>0</v>
      </c>
      <c r="GW446">
        <v>1</v>
      </c>
      <c r="GX446">
        <f t="shared" si="450"/>
        <v>0</v>
      </c>
      <c r="HA446">
        <v>0</v>
      </c>
      <c r="HB446">
        <v>0</v>
      </c>
      <c r="HC446">
        <f t="shared" si="451"/>
        <v>0</v>
      </c>
      <c r="HE446" t="s">
        <v>3</v>
      </c>
      <c r="HF446" t="s">
        <v>3</v>
      </c>
      <c r="HM446" t="s">
        <v>3</v>
      </c>
      <c r="HN446" t="s">
        <v>3</v>
      </c>
      <c r="HO446" t="s">
        <v>3</v>
      </c>
      <c r="HP446" t="s">
        <v>3</v>
      </c>
      <c r="HQ446" t="s">
        <v>3</v>
      </c>
      <c r="IK446">
        <v>0</v>
      </c>
    </row>
    <row r="447" spans="1:245" x14ac:dyDescent="0.2">
      <c r="A447">
        <v>17</v>
      </c>
      <c r="B447">
        <v>1</v>
      </c>
      <c r="D447">
        <f>ROW(EtalonRes!A343)</f>
        <v>343</v>
      </c>
      <c r="E447" t="s">
        <v>468</v>
      </c>
      <c r="F447" t="s">
        <v>469</v>
      </c>
      <c r="G447" t="s">
        <v>470</v>
      </c>
      <c r="H447" t="s">
        <v>31</v>
      </c>
      <c r="I447">
        <v>2</v>
      </c>
      <c r="J447">
        <v>0</v>
      </c>
      <c r="K447">
        <v>2</v>
      </c>
      <c r="O447">
        <f t="shared" si="421"/>
        <v>3142.6</v>
      </c>
      <c r="P447">
        <f t="shared" si="422"/>
        <v>90.16</v>
      </c>
      <c r="Q447">
        <f t="shared" si="423"/>
        <v>0</v>
      </c>
      <c r="R447">
        <f t="shared" si="424"/>
        <v>0</v>
      </c>
      <c r="S447">
        <f t="shared" si="425"/>
        <v>3052.44</v>
      </c>
      <c r="T447">
        <f t="shared" si="426"/>
        <v>0</v>
      </c>
      <c r="U447">
        <f t="shared" si="427"/>
        <v>3.68</v>
      </c>
      <c r="V447">
        <f t="shared" si="428"/>
        <v>0</v>
      </c>
      <c r="W447">
        <f t="shared" si="429"/>
        <v>0</v>
      </c>
      <c r="X447">
        <f t="shared" si="430"/>
        <v>2136.71</v>
      </c>
      <c r="Y447">
        <f t="shared" si="430"/>
        <v>305.24</v>
      </c>
      <c r="AA447">
        <v>1471988752</v>
      </c>
      <c r="AB447">
        <f t="shared" si="431"/>
        <v>1571.3</v>
      </c>
      <c r="AC447">
        <f>ROUND(((ES447*2)),6)</f>
        <v>45.08</v>
      </c>
      <c r="AD447">
        <f>ROUND(((((ET447*2))-((EU447*2)))+AE447),6)</f>
        <v>0</v>
      </c>
      <c r="AE447">
        <f>ROUND(((EU447*2)),6)</f>
        <v>0</v>
      </c>
      <c r="AF447">
        <f>ROUND(((EV447*2)),6)</f>
        <v>1526.22</v>
      </c>
      <c r="AG447">
        <f t="shared" si="432"/>
        <v>0</v>
      </c>
      <c r="AH447">
        <f>((EW447*2))</f>
        <v>1.84</v>
      </c>
      <c r="AI447">
        <f>((EX447*2))</f>
        <v>0</v>
      </c>
      <c r="AJ447">
        <f t="shared" si="433"/>
        <v>0</v>
      </c>
      <c r="AK447">
        <v>785.65</v>
      </c>
      <c r="AL447">
        <v>22.54</v>
      </c>
      <c r="AM447">
        <v>0</v>
      </c>
      <c r="AN447">
        <v>0</v>
      </c>
      <c r="AO447">
        <v>763.11</v>
      </c>
      <c r="AP447">
        <v>0</v>
      </c>
      <c r="AQ447">
        <v>0.92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471</v>
      </c>
      <c r="BM447">
        <v>0</v>
      </c>
      <c r="BN447">
        <v>0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si="434"/>
        <v>3142.6</v>
      </c>
      <c r="CQ447">
        <f t="shared" si="435"/>
        <v>45.08</v>
      </c>
      <c r="CR447">
        <f>(((((ET447*2))*BB447-((EU447*2))*BS447)+AE447*BS447)*AV447)</f>
        <v>0</v>
      </c>
      <c r="CS447">
        <f t="shared" si="436"/>
        <v>0</v>
      </c>
      <c r="CT447">
        <f t="shared" si="437"/>
        <v>1526.22</v>
      </c>
      <c r="CU447">
        <f t="shared" si="438"/>
        <v>0</v>
      </c>
      <c r="CV447">
        <f t="shared" si="439"/>
        <v>1.84</v>
      </c>
      <c r="CW447">
        <f t="shared" si="440"/>
        <v>0</v>
      </c>
      <c r="CX447">
        <f t="shared" si="440"/>
        <v>0</v>
      </c>
      <c r="CY447">
        <f t="shared" si="441"/>
        <v>2136.7080000000001</v>
      </c>
      <c r="CZ447">
        <f t="shared" si="442"/>
        <v>305.24400000000003</v>
      </c>
      <c r="DC447" t="s">
        <v>3</v>
      </c>
      <c r="DD447" t="s">
        <v>117</v>
      </c>
      <c r="DE447" t="s">
        <v>117</v>
      </c>
      <c r="DF447" t="s">
        <v>117</v>
      </c>
      <c r="DG447" t="s">
        <v>117</v>
      </c>
      <c r="DH447" t="s">
        <v>3</v>
      </c>
      <c r="DI447" t="s">
        <v>117</v>
      </c>
      <c r="DJ447" t="s">
        <v>117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16987630</v>
      </c>
      <c r="DV447" t="s">
        <v>31</v>
      </c>
      <c r="DW447" t="s">
        <v>31</v>
      </c>
      <c r="DX447">
        <v>1</v>
      </c>
      <c r="DZ447" t="s">
        <v>3</v>
      </c>
      <c r="EA447" t="s">
        <v>3</v>
      </c>
      <c r="EB447" t="s">
        <v>3</v>
      </c>
      <c r="EC447" t="s">
        <v>3</v>
      </c>
      <c r="EE447">
        <v>1441815344</v>
      </c>
      <c r="EF447">
        <v>1</v>
      </c>
      <c r="EG447" t="s">
        <v>19</v>
      </c>
      <c r="EH447">
        <v>0</v>
      </c>
      <c r="EI447" t="s">
        <v>3</v>
      </c>
      <c r="EJ447">
        <v>4</v>
      </c>
      <c r="EK447">
        <v>0</v>
      </c>
      <c r="EL447" t="s">
        <v>20</v>
      </c>
      <c r="EM447" t="s">
        <v>21</v>
      </c>
      <c r="EO447" t="s">
        <v>3</v>
      </c>
      <c r="EQ447">
        <v>0</v>
      </c>
      <c r="ER447">
        <v>785.65</v>
      </c>
      <c r="ES447">
        <v>22.54</v>
      </c>
      <c r="ET447">
        <v>0</v>
      </c>
      <c r="EU447">
        <v>0</v>
      </c>
      <c r="EV447">
        <v>763.11</v>
      </c>
      <c r="EW447">
        <v>0.92</v>
      </c>
      <c r="EX447">
        <v>0</v>
      </c>
      <c r="EY447">
        <v>0</v>
      </c>
      <c r="FQ447">
        <v>0</v>
      </c>
      <c r="FR447">
        <f t="shared" si="443"/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141523212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si="444"/>
        <v>0</v>
      </c>
      <c r="GM447">
        <f t="shared" si="445"/>
        <v>5584.55</v>
      </c>
      <c r="GN447">
        <f t="shared" si="446"/>
        <v>0</v>
      </c>
      <c r="GO447">
        <f t="shared" si="447"/>
        <v>0</v>
      </c>
      <c r="GP447">
        <f t="shared" si="448"/>
        <v>5584.55</v>
      </c>
      <c r="GR447">
        <v>0</v>
      </c>
      <c r="GS447">
        <v>3</v>
      </c>
      <c r="GT447">
        <v>0</v>
      </c>
      <c r="GU447" t="s">
        <v>3</v>
      </c>
      <c r="GV447">
        <f t="shared" si="449"/>
        <v>0</v>
      </c>
      <c r="GW447">
        <v>1</v>
      </c>
      <c r="GX447">
        <f t="shared" si="450"/>
        <v>0</v>
      </c>
      <c r="HA447">
        <v>0</v>
      </c>
      <c r="HB447">
        <v>0</v>
      </c>
      <c r="HC447">
        <f t="shared" si="451"/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D448">
        <f>ROW(EtalonRes!A345)</f>
        <v>345</v>
      </c>
      <c r="E448" t="s">
        <v>472</v>
      </c>
      <c r="F448" t="s">
        <v>423</v>
      </c>
      <c r="G448" t="s">
        <v>424</v>
      </c>
      <c r="H448" t="s">
        <v>17</v>
      </c>
      <c r="I448">
        <f>ROUND((250)*0.2*0.1/100,9)</f>
        <v>0.05</v>
      </c>
      <c r="J448">
        <v>0</v>
      </c>
      <c r="K448">
        <f>ROUND((250)*0.2*0.1/100,9)</f>
        <v>0.05</v>
      </c>
      <c r="O448">
        <f t="shared" si="421"/>
        <v>268.79000000000002</v>
      </c>
      <c r="P448">
        <f t="shared" si="422"/>
        <v>1.1299999999999999</v>
      </c>
      <c r="Q448">
        <f t="shared" si="423"/>
        <v>0</v>
      </c>
      <c r="R448">
        <f t="shared" si="424"/>
        <v>0</v>
      </c>
      <c r="S448">
        <f t="shared" si="425"/>
        <v>267.66000000000003</v>
      </c>
      <c r="T448">
        <f t="shared" si="426"/>
        <v>0</v>
      </c>
      <c r="U448">
        <f t="shared" si="427"/>
        <v>0.5</v>
      </c>
      <c r="V448">
        <f t="shared" si="428"/>
        <v>0</v>
      </c>
      <c r="W448">
        <f t="shared" si="429"/>
        <v>0</v>
      </c>
      <c r="X448">
        <f t="shared" si="430"/>
        <v>187.36</v>
      </c>
      <c r="Y448">
        <f t="shared" si="430"/>
        <v>26.77</v>
      </c>
      <c r="AA448">
        <v>1471988752</v>
      </c>
      <c r="AB448">
        <f t="shared" si="431"/>
        <v>5375.66</v>
      </c>
      <c r="AC448">
        <f>ROUND((ES448),6)</f>
        <v>22.51</v>
      </c>
      <c r="AD448">
        <f>ROUND((((ET448)-(EU448))+AE448),6)</f>
        <v>0</v>
      </c>
      <c r="AE448">
        <f>ROUND((EU448),6)</f>
        <v>0</v>
      </c>
      <c r="AF448">
        <f>ROUND((EV448),6)</f>
        <v>5353.15</v>
      </c>
      <c r="AG448">
        <f t="shared" si="432"/>
        <v>0</v>
      </c>
      <c r="AH448">
        <f>(EW448)</f>
        <v>10</v>
      </c>
      <c r="AI448">
        <f>(EX448)</f>
        <v>0</v>
      </c>
      <c r="AJ448">
        <f t="shared" si="433"/>
        <v>0</v>
      </c>
      <c r="AK448">
        <v>5375.66</v>
      </c>
      <c r="AL448">
        <v>22.51</v>
      </c>
      <c r="AM448">
        <v>0</v>
      </c>
      <c r="AN448">
        <v>0</v>
      </c>
      <c r="AO448">
        <v>5353.15</v>
      </c>
      <c r="AP448">
        <v>0</v>
      </c>
      <c r="AQ448">
        <v>10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425</v>
      </c>
      <c r="BM448">
        <v>0</v>
      </c>
      <c r="BN448">
        <v>0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434"/>
        <v>268.79000000000002</v>
      </c>
      <c r="CQ448">
        <f t="shared" si="435"/>
        <v>22.51</v>
      </c>
      <c r="CR448">
        <f>((((ET448)*BB448-(EU448)*BS448)+AE448*BS448)*AV448)</f>
        <v>0</v>
      </c>
      <c r="CS448">
        <f t="shared" si="436"/>
        <v>0</v>
      </c>
      <c r="CT448">
        <f t="shared" si="437"/>
        <v>5353.15</v>
      </c>
      <c r="CU448">
        <f t="shared" si="438"/>
        <v>0</v>
      </c>
      <c r="CV448">
        <f t="shared" si="439"/>
        <v>10</v>
      </c>
      <c r="CW448">
        <f t="shared" si="440"/>
        <v>0</v>
      </c>
      <c r="CX448">
        <f t="shared" si="440"/>
        <v>0</v>
      </c>
      <c r="CY448">
        <f t="shared" si="441"/>
        <v>187.36199999999999</v>
      </c>
      <c r="CZ448">
        <f t="shared" si="442"/>
        <v>26.766000000000005</v>
      </c>
      <c r="DC448" t="s">
        <v>3</v>
      </c>
      <c r="DD448" t="s">
        <v>3</v>
      </c>
      <c r="DE448" t="s">
        <v>3</v>
      </c>
      <c r="DF448" t="s">
        <v>3</v>
      </c>
      <c r="DG448" t="s">
        <v>3</v>
      </c>
      <c r="DH448" t="s">
        <v>3</v>
      </c>
      <c r="DI448" t="s">
        <v>3</v>
      </c>
      <c r="DJ448" t="s">
        <v>3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1003</v>
      </c>
      <c r="DV448" t="s">
        <v>17</v>
      </c>
      <c r="DW448" t="s">
        <v>17</v>
      </c>
      <c r="DX448">
        <v>100</v>
      </c>
      <c r="DZ448" t="s">
        <v>3</v>
      </c>
      <c r="EA448" t="s">
        <v>3</v>
      </c>
      <c r="EB448" t="s">
        <v>3</v>
      </c>
      <c r="EC448" t="s">
        <v>3</v>
      </c>
      <c r="EE448">
        <v>1441815344</v>
      </c>
      <c r="EF448">
        <v>1</v>
      </c>
      <c r="EG448" t="s">
        <v>19</v>
      </c>
      <c r="EH448">
        <v>0</v>
      </c>
      <c r="EI448" t="s">
        <v>3</v>
      </c>
      <c r="EJ448">
        <v>4</v>
      </c>
      <c r="EK448">
        <v>0</v>
      </c>
      <c r="EL448" t="s">
        <v>20</v>
      </c>
      <c r="EM448" t="s">
        <v>21</v>
      </c>
      <c r="EO448" t="s">
        <v>3</v>
      </c>
      <c r="EQ448">
        <v>0</v>
      </c>
      <c r="ER448">
        <v>5375.66</v>
      </c>
      <c r="ES448">
        <v>22.51</v>
      </c>
      <c r="ET448">
        <v>0</v>
      </c>
      <c r="EU448">
        <v>0</v>
      </c>
      <c r="EV448">
        <v>5353.15</v>
      </c>
      <c r="EW448">
        <v>10</v>
      </c>
      <c r="EX448">
        <v>0</v>
      </c>
      <c r="EY448">
        <v>0</v>
      </c>
      <c r="FQ448">
        <v>0</v>
      </c>
      <c r="FR448">
        <f t="shared" si="443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409781007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</v>
      </c>
      <c r="GL448">
        <f t="shared" si="444"/>
        <v>0</v>
      </c>
      <c r="GM448">
        <f t="shared" si="445"/>
        <v>482.92</v>
      </c>
      <c r="GN448">
        <f t="shared" si="446"/>
        <v>0</v>
      </c>
      <c r="GO448">
        <f t="shared" si="447"/>
        <v>0</v>
      </c>
      <c r="GP448">
        <f t="shared" si="448"/>
        <v>482.92</v>
      </c>
      <c r="GR448">
        <v>0</v>
      </c>
      <c r="GS448">
        <v>3</v>
      </c>
      <c r="GT448">
        <v>0</v>
      </c>
      <c r="GU448" t="s">
        <v>3</v>
      </c>
      <c r="GV448">
        <f t="shared" si="449"/>
        <v>0</v>
      </c>
      <c r="GW448">
        <v>1</v>
      </c>
      <c r="GX448">
        <f t="shared" si="450"/>
        <v>0</v>
      </c>
      <c r="HA448">
        <v>0</v>
      </c>
      <c r="HB448">
        <v>0</v>
      </c>
      <c r="HC448">
        <f t="shared" si="451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D449">
        <f>ROW(EtalonRes!A346)</f>
        <v>346</v>
      </c>
      <c r="E449" t="s">
        <v>3</v>
      </c>
      <c r="F449" t="s">
        <v>426</v>
      </c>
      <c r="G449" t="s">
        <v>427</v>
      </c>
      <c r="H449" t="s">
        <v>17</v>
      </c>
      <c r="I449">
        <f>ROUND((250)*0.1/100,9)</f>
        <v>0.25</v>
      </c>
      <c r="J449">
        <v>0</v>
      </c>
      <c r="K449">
        <f>ROUND((250)*0.1/100,9)</f>
        <v>0.25</v>
      </c>
      <c r="O449">
        <f t="shared" si="421"/>
        <v>44.17</v>
      </c>
      <c r="P449">
        <f t="shared" si="422"/>
        <v>0</v>
      </c>
      <c r="Q449">
        <f t="shared" si="423"/>
        <v>0</v>
      </c>
      <c r="R449">
        <f t="shared" si="424"/>
        <v>0</v>
      </c>
      <c r="S449">
        <f t="shared" si="425"/>
        <v>44.17</v>
      </c>
      <c r="T449">
        <f t="shared" si="426"/>
        <v>0</v>
      </c>
      <c r="U449">
        <f t="shared" si="427"/>
        <v>8.2500000000000004E-2</v>
      </c>
      <c r="V449">
        <f t="shared" si="428"/>
        <v>0</v>
      </c>
      <c r="W449">
        <f t="shared" si="429"/>
        <v>0</v>
      </c>
      <c r="X449">
        <f t="shared" si="430"/>
        <v>30.92</v>
      </c>
      <c r="Y449">
        <f t="shared" si="430"/>
        <v>4.42</v>
      </c>
      <c r="AA449">
        <v>-1</v>
      </c>
      <c r="AB449">
        <f t="shared" si="431"/>
        <v>176.66</v>
      </c>
      <c r="AC449">
        <f>ROUND((ES449),6)</f>
        <v>0</v>
      </c>
      <c r="AD449">
        <f>ROUND((((ET449)-(EU449))+AE449),6)</f>
        <v>0</v>
      </c>
      <c r="AE449">
        <f>ROUND((EU449),6)</f>
        <v>0</v>
      </c>
      <c r="AF449">
        <f>ROUND((EV449),6)</f>
        <v>176.66</v>
      </c>
      <c r="AG449">
        <f t="shared" si="432"/>
        <v>0</v>
      </c>
      <c r="AH449">
        <f>(EW449)</f>
        <v>0.33</v>
      </c>
      <c r="AI449">
        <f>(EX449)</f>
        <v>0</v>
      </c>
      <c r="AJ449">
        <f t="shared" si="433"/>
        <v>0</v>
      </c>
      <c r="AK449">
        <v>176.66</v>
      </c>
      <c r="AL449">
        <v>0</v>
      </c>
      <c r="AM449">
        <v>0</v>
      </c>
      <c r="AN449">
        <v>0</v>
      </c>
      <c r="AO449">
        <v>176.66</v>
      </c>
      <c r="AP449">
        <v>0</v>
      </c>
      <c r="AQ449">
        <v>0.33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428</v>
      </c>
      <c r="BM449">
        <v>0</v>
      </c>
      <c r="BN449">
        <v>0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434"/>
        <v>44.17</v>
      </c>
      <c r="CQ449">
        <f t="shared" si="435"/>
        <v>0</v>
      </c>
      <c r="CR449">
        <f>((((ET449)*BB449-(EU449)*BS449)+AE449*BS449)*AV449)</f>
        <v>0</v>
      </c>
      <c r="CS449">
        <f t="shared" si="436"/>
        <v>0</v>
      </c>
      <c r="CT449">
        <f t="shared" si="437"/>
        <v>176.66</v>
      </c>
      <c r="CU449">
        <f t="shared" si="438"/>
        <v>0</v>
      </c>
      <c r="CV449">
        <f t="shared" si="439"/>
        <v>0.33</v>
      </c>
      <c r="CW449">
        <f t="shared" si="440"/>
        <v>0</v>
      </c>
      <c r="CX449">
        <f t="shared" si="440"/>
        <v>0</v>
      </c>
      <c r="CY449">
        <f t="shared" si="441"/>
        <v>30.919</v>
      </c>
      <c r="CZ449">
        <f t="shared" si="442"/>
        <v>4.4170000000000007</v>
      </c>
      <c r="DC449" t="s">
        <v>3</v>
      </c>
      <c r="DD449" t="s">
        <v>3</v>
      </c>
      <c r="DE449" t="s">
        <v>3</v>
      </c>
      <c r="DF449" t="s">
        <v>3</v>
      </c>
      <c r="DG449" t="s">
        <v>3</v>
      </c>
      <c r="DH449" t="s">
        <v>3</v>
      </c>
      <c r="DI449" t="s">
        <v>3</v>
      </c>
      <c r="DJ449" t="s">
        <v>3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1003</v>
      </c>
      <c r="DV449" t="s">
        <v>17</v>
      </c>
      <c r="DW449" t="s">
        <v>17</v>
      </c>
      <c r="DX449">
        <v>100</v>
      </c>
      <c r="DZ449" t="s">
        <v>3</v>
      </c>
      <c r="EA449" t="s">
        <v>3</v>
      </c>
      <c r="EB449" t="s">
        <v>3</v>
      </c>
      <c r="EC449" t="s">
        <v>3</v>
      </c>
      <c r="EE449">
        <v>1441815344</v>
      </c>
      <c r="EF449">
        <v>1</v>
      </c>
      <c r="EG449" t="s">
        <v>19</v>
      </c>
      <c r="EH449">
        <v>0</v>
      </c>
      <c r="EI449" t="s">
        <v>3</v>
      </c>
      <c r="EJ449">
        <v>4</v>
      </c>
      <c r="EK449">
        <v>0</v>
      </c>
      <c r="EL449" t="s">
        <v>20</v>
      </c>
      <c r="EM449" t="s">
        <v>21</v>
      </c>
      <c r="EO449" t="s">
        <v>3</v>
      </c>
      <c r="EQ449">
        <v>1024</v>
      </c>
      <c r="ER449">
        <v>176.66</v>
      </c>
      <c r="ES449">
        <v>0</v>
      </c>
      <c r="ET449">
        <v>0</v>
      </c>
      <c r="EU449">
        <v>0</v>
      </c>
      <c r="EV449">
        <v>176.66</v>
      </c>
      <c r="EW449">
        <v>0.33</v>
      </c>
      <c r="EX449">
        <v>0</v>
      </c>
      <c r="EY449">
        <v>0</v>
      </c>
      <c r="FQ449">
        <v>0</v>
      </c>
      <c r="FR449">
        <f t="shared" si="443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-89122687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</v>
      </c>
      <c r="GL449">
        <f t="shared" si="444"/>
        <v>0</v>
      </c>
      <c r="GM449">
        <f t="shared" si="445"/>
        <v>79.510000000000005</v>
      </c>
      <c r="GN449">
        <f t="shared" si="446"/>
        <v>0</v>
      </c>
      <c r="GO449">
        <f t="shared" si="447"/>
        <v>0</v>
      </c>
      <c r="GP449">
        <f t="shared" si="448"/>
        <v>79.510000000000005</v>
      </c>
      <c r="GR449">
        <v>0</v>
      </c>
      <c r="GS449">
        <v>3</v>
      </c>
      <c r="GT449">
        <v>0</v>
      </c>
      <c r="GU449" t="s">
        <v>3</v>
      </c>
      <c r="GV449">
        <f t="shared" si="449"/>
        <v>0</v>
      </c>
      <c r="GW449">
        <v>1</v>
      </c>
      <c r="GX449">
        <f t="shared" si="450"/>
        <v>0</v>
      </c>
      <c r="HA449">
        <v>0</v>
      </c>
      <c r="HB449">
        <v>0</v>
      </c>
      <c r="HC449">
        <f t="shared" si="451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1" spans="1:245" x14ac:dyDescent="0.2">
      <c r="A451" s="2">
        <v>51</v>
      </c>
      <c r="B451" s="2">
        <f>B427</f>
        <v>1</v>
      </c>
      <c r="C451" s="2">
        <f>A427</f>
        <v>5</v>
      </c>
      <c r="D451" s="2">
        <f>ROW(A427)</f>
        <v>427</v>
      </c>
      <c r="E451" s="2"/>
      <c r="F451" s="2" t="str">
        <f>IF(F427&lt;&gt;"",F427,"")</f>
        <v>Новый подраздел</v>
      </c>
      <c r="G451" s="2" t="str">
        <f>IF(G427&lt;&gt;"",G427,"")</f>
        <v>4.4  Кабельно-проводниковая продукция</v>
      </c>
      <c r="H451" s="2">
        <v>0</v>
      </c>
      <c r="I451" s="2"/>
      <c r="J451" s="2"/>
      <c r="K451" s="2"/>
      <c r="L451" s="2"/>
      <c r="M451" s="2"/>
      <c r="N451" s="2"/>
      <c r="O451" s="2">
        <f t="shared" ref="O451:T451" si="452">ROUND(AB451,2)</f>
        <v>42926.6</v>
      </c>
      <c r="P451" s="2">
        <f t="shared" si="452"/>
        <v>213.76</v>
      </c>
      <c r="Q451" s="2">
        <f t="shared" si="452"/>
        <v>0</v>
      </c>
      <c r="R451" s="2">
        <f t="shared" si="452"/>
        <v>0</v>
      </c>
      <c r="S451" s="2">
        <f t="shared" si="452"/>
        <v>42712.84</v>
      </c>
      <c r="T451" s="2">
        <f t="shared" si="452"/>
        <v>0</v>
      </c>
      <c r="U451" s="2">
        <f>AH451</f>
        <v>75.409080000000017</v>
      </c>
      <c r="V451" s="2">
        <f>AI451</f>
        <v>0</v>
      </c>
      <c r="W451" s="2">
        <f>ROUND(AJ451,2)</f>
        <v>0</v>
      </c>
      <c r="X451" s="2">
        <f>ROUND(AK451,2)</f>
        <v>29898.98</v>
      </c>
      <c r="Y451" s="2">
        <f>ROUND(AL451,2)</f>
        <v>4271.29</v>
      </c>
      <c r="Z451" s="2"/>
      <c r="AA451" s="2"/>
      <c r="AB451" s="2">
        <f>ROUND(SUMIF(AA431:AA449,"=1471988752",O431:O449),2)</f>
        <v>42926.6</v>
      </c>
      <c r="AC451" s="2">
        <f>ROUND(SUMIF(AA431:AA449,"=1471988752",P431:P449),2)</f>
        <v>213.76</v>
      </c>
      <c r="AD451" s="2">
        <f>ROUND(SUMIF(AA431:AA449,"=1471988752",Q431:Q449),2)</f>
        <v>0</v>
      </c>
      <c r="AE451" s="2">
        <f>ROUND(SUMIF(AA431:AA449,"=1471988752",R431:R449),2)</f>
        <v>0</v>
      </c>
      <c r="AF451" s="2">
        <f>ROUND(SUMIF(AA431:AA449,"=1471988752",S431:S449),2)</f>
        <v>42712.84</v>
      </c>
      <c r="AG451" s="2">
        <f>ROUND(SUMIF(AA431:AA449,"=1471988752",T431:T449),2)</f>
        <v>0</v>
      </c>
      <c r="AH451" s="2">
        <f>SUMIF(AA431:AA449,"=1471988752",U431:U449)</f>
        <v>75.409080000000017</v>
      </c>
      <c r="AI451" s="2">
        <f>SUMIF(AA431:AA449,"=1471988752",V431:V449)</f>
        <v>0</v>
      </c>
      <c r="AJ451" s="2">
        <f>ROUND(SUMIF(AA431:AA449,"=1471988752",W431:W449),2)</f>
        <v>0</v>
      </c>
      <c r="AK451" s="2">
        <f>ROUND(SUMIF(AA431:AA449,"=1471988752",X431:X449),2)</f>
        <v>29898.98</v>
      </c>
      <c r="AL451" s="2">
        <f>ROUND(SUMIF(AA431:AA449,"=1471988752",Y431:Y449),2)</f>
        <v>4271.29</v>
      </c>
      <c r="AM451" s="2"/>
      <c r="AN451" s="2"/>
      <c r="AO451" s="2">
        <f t="shared" ref="AO451:BD451" si="453">ROUND(BX451,2)</f>
        <v>0</v>
      </c>
      <c r="AP451" s="2">
        <f t="shared" si="453"/>
        <v>0</v>
      </c>
      <c r="AQ451" s="2">
        <f t="shared" si="453"/>
        <v>0</v>
      </c>
      <c r="AR451" s="2">
        <f t="shared" si="453"/>
        <v>77096.87</v>
      </c>
      <c r="AS451" s="2">
        <f t="shared" si="453"/>
        <v>0</v>
      </c>
      <c r="AT451" s="2">
        <f t="shared" si="453"/>
        <v>0</v>
      </c>
      <c r="AU451" s="2">
        <f t="shared" si="453"/>
        <v>77096.87</v>
      </c>
      <c r="AV451" s="2">
        <f t="shared" si="453"/>
        <v>213.76</v>
      </c>
      <c r="AW451" s="2">
        <f t="shared" si="453"/>
        <v>213.76</v>
      </c>
      <c r="AX451" s="2">
        <f t="shared" si="453"/>
        <v>0</v>
      </c>
      <c r="AY451" s="2">
        <f t="shared" si="453"/>
        <v>213.76</v>
      </c>
      <c r="AZ451" s="2">
        <f t="shared" si="453"/>
        <v>0</v>
      </c>
      <c r="BA451" s="2">
        <f t="shared" si="453"/>
        <v>0</v>
      </c>
      <c r="BB451" s="2">
        <f t="shared" si="453"/>
        <v>0</v>
      </c>
      <c r="BC451" s="2">
        <f t="shared" si="453"/>
        <v>0</v>
      </c>
      <c r="BD451" s="2">
        <f t="shared" si="453"/>
        <v>0</v>
      </c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>
        <f>ROUND(SUMIF(AA431:AA449,"=1471988752",FQ431:FQ449),2)</f>
        <v>0</v>
      </c>
      <c r="BY451" s="2">
        <f>ROUND(SUMIF(AA431:AA449,"=1471988752",FR431:FR449),2)</f>
        <v>0</v>
      </c>
      <c r="BZ451" s="2">
        <f>ROUND(SUMIF(AA431:AA449,"=1471988752",GL431:GL449),2)</f>
        <v>0</v>
      </c>
      <c r="CA451" s="2">
        <f>ROUND(SUMIF(AA431:AA449,"=1471988752",GM431:GM449),2)</f>
        <v>77096.87</v>
      </c>
      <c r="CB451" s="2">
        <f>ROUND(SUMIF(AA431:AA449,"=1471988752",GN431:GN449),2)</f>
        <v>0</v>
      </c>
      <c r="CC451" s="2">
        <f>ROUND(SUMIF(AA431:AA449,"=1471988752",GO431:GO449),2)</f>
        <v>0</v>
      </c>
      <c r="CD451" s="2">
        <f>ROUND(SUMIF(AA431:AA449,"=1471988752",GP431:GP449),2)</f>
        <v>77096.87</v>
      </c>
      <c r="CE451" s="2">
        <f>AC451-BX451</f>
        <v>213.76</v>
      </c>
      <c r="CF451" s="2">
        <f>AC451-BY451</f>
        <v>213.76</v>
      </c>
      <c r="CG451" s="2">
        <f>BX451-BZ451</f>
        <v>0</v>
      </c>
      <c r="CH451" s="2">
        <f>AC451-BX451-BY451+BZ451</f>
        <v>213.76</v>
      </c>
      <c r="CI451" s="2">
        <f>BY451-BZ451</f>
        <v>0</v>
      </c>
      <c r="CJ451" s="2">
        <f>ROUND(SUMIF(AA431:AA449,"=1471988752",GX431:GX449),2)</f>
        <v>0</v>
      </c>
      <c r="CK451" s="2">
        <f>ROUND(SUMIF(AA431:AA449,"=1471988752",GY431:GY449),2)</f>
        <v>0</v>
      </c>
      <c r="CL451" s="2">
        <f>ROUND(SUMIF(AA431:AA449,"=1471988752",GZ431:GZ449),2)</f>
        <v>0</v>
      </c>
      <c r="CM451" s="2">
        <f>ROUND(SUMIF(AA431:AA449,"=1471988752",HD431:HD449),2)</f>
        <v>0</v>
      </c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3"/>
      <c r="DH451" s="3"/>
      <c r="DI451" s="3"/>
      <c r="DJ451" s="3"/>
      <c r="DK451" s="3"/>
      <c r="DL451" s="3"/>
      <c r="DM451" s="3"/>
      <c r="DN451" s="3"/>
      <c r="DO451" s="3"/>
      <c r="DP451" s="3"/>
      <c r="DQ451" s="3"/>
      <c r="DR451" s="3"/>
      <c r="DS451" s="3"/>
      <c r="DT451" s="3"/>
      <c r="DU451" s="3"/>
      <c r="DV451" s="3"/>
      <c r="DW451" s="3"/>
      <c r="DX451" s="3"/>
      <c r="DY451" s="3"/>
      <c r="DZ451" s="3"/>
      <c r="EA451" s="3"/>
      <c r="EB451" s="3"/>
      <c r="EC451" s="3"/>
      <c r="ED451" s="3"/>
      <c r="EE451" s="3"/>
      <c r="EF451" s="3"/>
      <c r="EG451" s="3"/>
      <c r="EH451" s="3"/>
      <c r="EI451" s="3"/>
      <c r="EJ451" s="3"/>
      <c r="EK451" s="3"/>
      <c r="EL451" s="3"/>
      <c r="EM451" s="3"/>
      <c r="EN451" s="3"/>
      <c r="EO451" s="3"/>
      <c r="EP451" s="3"/>
      <c r="EQ451" s="3"/>
      <c r="ER451" s="3"/>
      <c r="ES451" s="3"/>
      <c r="ET451" s="3"/>
      <c r="EU451" s="3"/>
      <c r="EV451" s="3"/>
      <c r="EW451" s="3"/>
      <c r="EX451" s="3"/>
      <c r="EY451" s="3"/>
      <c r="EZ451" s="3"/>
      <c r="FA451" s="3"/>
      <c r="FB451" s="3"/>
      <c r="FC451" s="3"/>
      <c r="FD451" s="3"/>
      <c r="FE451" s="3"/>
      <c r="FF451" s="3"/>
      <c r="FG451" s="3"/>
      <c r="FH451" s="3"/>
      <c r="FI451" s="3"/>
      <c r="FJ451" s="3"/>
      <c r="FK451" s="3"/>
      <c r="FL451" s="3"/>
      <c r="FM451" s="3"/>
      <c r="FN451" s="3"/>
      <c r="FO451" s="3"/>
      <c r="FP451" s="3"/>
      <c r="FQ451" s="3"/>
      <c r="FR451" s="3"/>
      <c r="FS451" s="3"/>
      <c r="FT451" s="3"/>
      <c r="FU451" s="3"/>
      <c r="FV451" s="3"/>
      <c r="FW451" s="3"/>
      <c r="FX451" s="3"/>
      <c r="FY451" s="3"/>
      <c r="FZ451" s="3"/>
      <c r="GA451" s="3"/>
      <c r="GB451" s="3"/>
      <c r="GC451" s="3"/>
      <c r="GD451" s="3"/>
      <c r="GE451" s="3"/>
      <c r="GF451" s="3"/>
      <c r="GG451" s="3"/>
      <c r="GH451" s="3"/>
      <c r="GI451" s="3"/>
      <c r="GJ451" s="3"/>
      <c r="GK451" s="3"/>
      <c r="GL451" s="3"/>
      <c r="GM451" s="3"/>
      <c r="GN451" s="3"/>
      <c r="GO451" s="3"/>
      <c r="GP451" s="3"/>
      <c r="GQ451" s="3"/>
      <c r="GR451" s="3"/>
      <c r="GS451" s="3"/>
      <c r="GT451" s="3"/>
      <c r="GU451" s="3"/>
      <c r="GV451" s="3"/>
      <c r="GW451" s="3"/>
      <c r="GX451" s="3">
        <v>0</v>
      </c>
    </row>
    <row r="453" spans="1:245" x14ac:dyDescent="0.2">
      <c r="A453" s="4">
        <v>50</v>
      </c>
      <c r="B453" s="4">
        <v>0</v>
      </c>
      <c r="C453" s="4">
        <v>0</v>
      </c>
      <c r="D453" s="4">
        <v>1</v>
      </c>
      <c r="E453" s="4">
        <v>201</v>
      </c>
      <c r="F453" s="4">
        <f>ROUND(Source!O451,O453)</f>
        <v>42926.6</v>
      </c>
      <c r="G453" s="4" t="s">
        <v>45</v>
      </c>
      <c r="H453" s="4" t="s">
        <v>46</v>
      </c>
      <c r="I453" s="4"/>
      <c r="J453" s="4"/>
      <c r="K453" s="4">
        <v>201</v>
      </c>
      <c r="L453" s="4">
        <v>1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42926.6</v>
      </c>
      <c r="X453" s="4">
        <v>1</v>
      </c>
      <c r="Y453" s="4">
        <v>42926.6</v>
      </c>
      <c r="Z453" s="4"/>
      <c r="AA453" s="4"/>
      <c r="AB453" s="4"/>
    </row>
    <row r="454" spans="1:245" x14ac:dyDescent="0.2">
      <c r="A454" s="4">
        <v>50</v>
      </c>
      <c r="B454" s="4">
        <v>0</v>
      </c>
      <c r="C454" s="4">
        <v>0</v>
      </c>
      <c r="D454" s="4">
        <v>1</v>
      </c>
      <c r="E454" s="4">
        <v>202</v>
      </c>
      <c r="F454" s="4">
        <f>ROUND(Source!P451,O454)</f>
        <v>213.76</v>
      </c>
      <c r="G454" s="4" t="s">
        <v>47</v>
      </c>
      <c r="H454" s="4" t="s">
        <v>48</v>
      </c>
      <c r="I454" s="4"/>
      <c r="J454" s="4"/>
      <c r="K454" s="4">
        <v>202</v>
      </c>
      <c r="L454" s="4">
        <v>2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213.76</v>
      </c>
      <c r="X454" s="4">
        <v>1</v>
      </c>
      <c r="Y454" s="4">
        <v>213.76</v>
      </c>
      <c r="Z454" s="4"/>
      <c r="AA454" s="4"/>
      <c r="AB454" s="4"/>
    </row>
    <row r="455" spans="1:245" x14ac:dyDescent="0.2">
      <c r="A455" s="4">
        <v>50</v>
      </c>
      <c r="B455" s="4">
        <v>0</v>
      </c>
      <c r="C455" s="4">
        <v>0</v>
      </c>
      <c r="D455" s="4">
        <v>1</v>
      </c>
      <c r="E455" s="4">
        <v>222</v>
      </c>
      <c r="F455" s="4">
        <f>ROUND(Source!AO451,O455)</f>
        <v>0</v>
      </c>
      <c r="G455" s="4" t="s">
        <v>49</v>
      </c>
      <c r="H455" s="4" t="s">
        <v>50</v>
      </c>
      <c r="I455" s="4"/>
      <c r="J455" s="4"/>
      <c r="K455" s="4">
        <v>222</v>
      </c>
      <c r="L455" s="4">
        <v>3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225</v>
      </c>
      <c r="F456" s="4">
        <f>ROUND(Source!AV451,O456)</f>
        <v>213.76</v>
      </c>
      <c r="G456" s="4" t="s">
        <v>51</v>
      </c>
      <c r="H456" s="4" t="s">
        <v>52</v>
      </c>
      <c r="I456" s="4"/>
      <c r="J456" s="4"/>
      <c r="K456" s="4">
        <v>225</v>
      </c>
      <c r="L456" s="4">
        <v>4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213.76</v>
      </c>
      <c r="X456" s="4">
        <v>1</v>
      </c>
      <c r="Y456" s="4">
        <v>213.76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226</v>
      </c>
      <c r="F457" s="4">
        <f>ROUND(Source!AW451,O457)</f>
        <v>213.76</v>
      </c>
      <c r="G457" s="4" t="s">
        <v>53</v>
      </c>
      <c r="H457" s="4" t="s">
        <v>54</v>
      </c>
      <c r="I457" s="4"/>
      <c r="J457" s="4"/>
      <c r="K457" s="4">
        <v>226</v>
      </c>
      <c r="L457" s="4">
        <v>5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213.76</v>
      </c>
      <c r="X457" s="4">
        <v>1</v>
      </c>
      <c r="Y457" s="4">
        <v>213.76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227</v>
      </c>
      <c r="F458" s="4">
        <f>ROUND(Source!AX451,O458)</f>
        <v>0</v>
      </c>
      <c r="G458" s="4" t="s">
        <v>55</v>
      </c>
      <c r="H458" s="4" t="s">
        <v>56</v>
      </c>
      <c r="I458" s="4"/>
      <c r="J458" s="4"/>
      <c r="K458" s="4">
        <v>227</v>
      </c>
      <c r="L458" s="4">
        <v>6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228</v>
      </c>
      <c r="F459" s="4">
        <f>ROUND(Source!AY451,O459)</f>
        <v>213.76</v>
      </c>
      <c r="G459" s="4" t="s">
        <v>57</v>
      </c>
      <c r="H459" s="4" t="s">
        <v>58</v>
      </c>
      <c r="I459" s="4"/>
      <c r="J459" s="4"/>
      <c r="K459" s="4">
        <v>228</v>
      </c>
      <c r="L459" s="4">
        <v>7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213.76</v>
      </c>
      <c r="X459" s="4">
        <v>1</v>
      </c>
      <c r="Y459" s="4">
        <v>213.76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216</v>
      </c>
      <c r="F460" s="4">
        <f>ROUND(Source!AP451,O460)</f>
        <v>0</v>
      </c>
      <c r="G460" s="4" t="s">
        <v>59</v>
      </c>
      <c r="H460" s="4" t="s">
        <v>60</v>
      </c>
      <c r="I460" s="4"/>
      <c r="J460" s="4"/>
      <c r="K460" s="4">
        <v>216</v>
      </c>
      <c r="L460" s="4">
        <v>8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223</v>
      </c>
      <c r="F461" s="4">
        <f>ROUND(Source!AQ451,O461)</f>
        <v>0</v>
      </c>
      <c r="G461" s="4" t="s">
        <v>61</v>
      </c>
      <c r="H461" s="4" t="s">
        <v>62</v>
      </c>
      <c r="I461" s="4"/>
      <c r="J461" s="4"/>
      <c r="K461" s="4">
        <v>223</v>
      </c>
      <c r="L461" s="4">
        <v>9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229</v>
      </c>
      <c r="F462" s="4">
        <f>ROUND(Source!AZ451,O462)</f>
        <v>0</v>
      </c>
      <c r="G462" s="4" t="s">
        <v>63</v>
      </c>
      <c r="H462" s="4" t="s">
        <v>64</v>
      </c>
      <c r="I462" s="4"/>
      <c r="J462" s="4"/>
      <c r="K462" s="4">
        <v>229</v>
      </c>
      <c r="L462" s="4">
        <v>10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203</v>
      </c>
      <c r="F463" s="4">
        <f>ROUND(Source!Q451,O463)</f>
        <v>0</v>
      </c>
      <c r="G463" s="4" t="s">
        <v>65</v>
      </c>
      <c r="H463" s="4" t="s">
        <v>66</v>
      </c>
      <c r="I463" s="4"/>
      <c r="J463" s="4"/>
      <c r="K463" s="4">
        <v>203</v>
      </c>
      <c r="L463" s="4">
        <v>11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231</v>
      </c>
      <c r="F464" s="4">
        <f>ROUND(Source!BB451,O464)</f>
        <v>0</v>
      </c>
      <c r="G464" s="4" t="s">
        <v>67</v>
      </c>
      <c r="H464" s="4" t="s">
        <v>68</v>
      </c>
      <c r="I464" s="4"/>
      <c r="J464" s="4"/>
      <c r="K464" s="4">
        <v>231</v>
      </c>
      <c r="L464" s="4">
        <v>12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204</v>
      </c>
      <c r="F465" s="4">
        <f>ROUND(Source!R451,O465)</f>
        <v>0</v>
      </c>
      <c r="G465" s="4" t="s">
        <v>69</v>
      </c>
      <c r="H465" s="4" t="s">
        <v>70</v>
      </c>
      <c r="I465" s="4"/>
      <c r="J465" s="4"/>
      <c r="K465" s="4">
        <v>204</v>
      </c>
      <c r="L465" s="4">
        <v>13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205</v>
      </c>
      <c r="F466" s="4">
        <f>ROUND(Source!S451,O466)</f>
        <v>42712.84</v>
      </c>
      <c r="G466" s="4" t="s">
        <v>71</v>
      </c>
      <c r="H466" s="4" t="s">
        <v>72</v>
      </c>
      <c r="I466" s="4"/>
      <c r="J466" s="4"/>
      <c r="K466" s="4">
        <v>205</v>
      </c>
      <c r="L466" s="4">
        <v>14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42712.84</v>
      </c>
      <c r="X466" s="4">
        <v>1</v>
      </c>
      <c r="Y466" s="4">
        <v>42712.84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232</v>
      </c>
      <c r="F467" s="4">
        <f>ROUND(Source!BC451,O467)</f>
        <v>0</v>
      </c>
      <c r="G467" s="4" t="s">
        <v>73</v>
      </c>
      <c r="H467" s="4" t="s">
        <v>74</v>
      </c>
      <c r="I467" s="4"/>
      <c r="J467" s="4"/>
      <c r="K467" s="4">
        <v>232</v>
      </c>
      <c r="L467" s="4">
        <v>15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214</v>
      </c>
      <c r="F468" s="4">
        <f>ROUND(Source!AS451,O468)</f>
        <v>0</v>
      </c>
      <c r="G468" s="4" t="s">
        <v>75</v>
      </c>
      <c r="H468" s="4" t="s">
        <v>76</v>
      </c>
      <c r="I468" s="4"/>
      <c r="J468" s="4"/>
      <c r="K468" s="4">
        <v>214</v>
      </c>
      <c r="L468" s="4">
        <v>16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215</v>
      </c>
      <c r="F469" s="4">
        <f>ROUND(Source!AT451,O469)</f>
        <v>0</v>
      </c>
      <c r="G469" s="4" t="s">
        <v>77</v>
      </c>
      <c r="H469" s="4" t="s">
        <v>78</v>
      </c>
      <c r="I469" s="4"/>
      <c r="J469" s="4"/>
      <c r="K469" s="4">
        <v>215</v>
      </c>
      <c r="L469" s="4">
        <v>17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217</v>
      </c>
      <c r="F470" s="4">
        <f>ROUND(Source!AU451,O470)</f>
        <v>77096.87</v>
      </c>
      <c r="G470" s="4" t="s">
        <v>79</v>
      </c>
      <c r="H470" s="4" t="s">
        <v>80</v>
      </c>
      <c r="I470" s="4"/>
      <c r="J470" s="4"/>
      <c r="K470" s="4">
        <v>217</v>
      </c>
      <c r="L470" s="4">
        <v>18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77096.87</v>
      </c>
      <c r="X470" s="4">
        <v>1</v>
      </c>
      <c r="Y470" s="4">
        <v>77096.87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230</v>
      </c>
      <c r="F471" s="4">
        <f>ROUND(Source!BA451,O471)</f>
        <v>0</v>
      </c>
      <c r="G471" s="4" t="s">
        <v>81</v>
      </c>
      <c r="H471" s="4" t="s">
        <v>82</v>
      </c>
      <c r="I471" s="4"/>
      <c r="J471" s="4"/>
      <c r="K471" s="4">
        <v>230</v>
      </c>
      <c r="L471" s="4">
        <v>19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206</v>
      </c>
      <c r="F472" s="4">
        <f>ROUND(Source!T451,O472)</f>
        <v>0</v>
      </c>
      <c r="G472" s="4" t="s">
        <v>83</v>
      </c>
      <c r="H472" s="4" t="s">
        <v>84</v>
      </c>
      <c r="I472" s="4"/>
      <c r="J472" s="4"/>
      <c r="K472" s="4">
        <v>206</v>
      </c>
      <c r="L472" s="4">
        <v>20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207</v>
      </c>
      <c r="F473" s="4">
        <f>Source!U451</f>
        <v>75.409080000000017</v>
      </c>
      <c r="G473" s="4" t="s">
        <v>85</v>
      </c>
      <c r="H473" s="4" t="s">
        <v>86</v>
      </c>
      <c r="I473" s="4"/>
      <c r="J473" s="4"/>
      <c r="K473" s="4">
        <v>207</v>
      </c>
      <c r="L473" s="4">
        <v>21</v>
      </c>
      <c r="M473" s="4">
        <v>3</v>
      </c>
      <c r="N473" s="4" t="s">
        <v>3</v>
      </c>
      <c r="O473" s="4">
        <v>-1</v>
      </c>
      <c r="P473" s="4"/>
      <c r="Q473" s="4"/>
      <c r="R473" s="4"/>
      <c r="S473" s="4"/>
      <c r="T473" s="4"/>
      <c r="U473" s="4"/>
      <c r="V473" s="4"/>
      <c r="W473" s="4">
        <v>75.409080000000003</v>
      </c>
      <c r="X473" s="4">
        <v>1</v>
      </c>
      <c r="Y473" s="4">
        <v>75.409080000000003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208</v>
      </c>
      <c r="F474" s="4">
        <f>Source!V451</f>
        <v>0</v>
      </c>
      <c r="G474" s="4" t="s">
        <v>87</v>
      </c>
      <c r="H474" s="4" t="s">
        <v>88</v>
      </c>
      <c r="I474" s="4"/>
      <c r="J474" s="4"/>
      <c r="K474" s="4">
        <v>208</v>
      </c>
      <c r="L474" s="4">
        <v>22</v>
      </c>
      <c r="M474" s="4">
        <v>3</v>
      </c>
      <c r="N474" s="4" t="s">
        <v>3</v>
      </c>
      <c r="O474" s="4">
        <v>-1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209</v>
      </c>
      <c r="F475" s="4">
        <f>ROUND(Source!W451,O475)</f>
        <v>0</v>
      </c>
      <c r="G475" s="4" t="s">
        <v>89</v>
      </c>
      <c r="H475" s="4" t="s">
        <v>90</v>
      </c>
      <c r="I475" s="4"/>
      <c r="J475" s="4"/>
      <c r="K475" s="4">
        <v>209</v>
      </c>
      <c r="L475" s="4">
        <v>23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233</v>
      </c>
      <c r="F476" s="4">
        <f>ROUND(Source!BD451,O476)</f>
        <v>0</v>
      </c>
      <c r="G476" s="4" t="s">
        <v>91</v>
      </c>
      <c r="H476" s="4" t="s">
        <v>92</v>
      </c>
      <c r="I476" s="4"/>
      <c r="J476" s="4"/>
      <c r="K476" s="4">
        <v>233</v>
      </c>
      <c r="L476" s="4">
        <v>24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210</v>
      </c>
      <c r="F477" s="4">
        <f>ROUND(Source!X451,O477)</f>
        <v>29898.98</v>
      </c>
      <c r="G477" s="4" t="s">
        <v>93</v>
      </c>
      <c r="H477" s="4" t="s">
        <v>94</v>
      </c>
      <c r="I477" s="4"/>
      <c r="J477" s="4"/>
      <c r="K477" s="4">
        <v>210</v>
      </c>
      <c r="L477" s="4">
        <v>25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29898.98</v>
      </c>
      <c r="X477" s="4">
        <v>1</v>
      </c>
      <c r="Y477" s="4">
        <v>29898.98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211</v>
      </c>
      <c r="F478" s="4">
        <f>ROUND(Source!Y451,O478)</f>
        <v>4271.29</v>
      </c>
      <c r="G478" s="4" t="s">
        <v>95</v>
      </c>
      <c r="H478" s="4" t="s">
        <v>96</v>
      </c>
      <c r="I478" s="4"/>
      <c r="J478" s="4"/>
      <c r="K478" s="4">
        <v>211</v>
      </c>
      <c r="L478" s="4">
        <v>26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4271.29</v>
      </c>
      <c r="X478" s="4">
        <v>1</v>
      </c>
      <c r="Y478" s="4">
        <v>4271.29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224</v>
      </c>
      <c r="F479" s="4">
        <f>ROUND(Source!AR451,O479)</f>
        <v>77096.87</v>
      </c>
      <c r="G479" s="4" t="s">
        <v>97</v>
      </c>
      <c r="H479" s="4" t="s">
        <v>98</v>
      </c>
      <c r="I479" s="4"/>
      <c r="J479" s="4"/>
      <c r="K479" s="4">
        <v>224</v>
      </c>
      <c r="L479" s="4">
        <v>27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77096.87</v>
      </c>
      <c r="X479" s="4">
        <v>1</v>
      </c>
      <c r="Y479" s="4">
        <v>77096.87</v>
      </c>
      <c r="Z479" s="4"/>
      <c r="AA479" s="4"/>
      <c r="AB479" s="4"/>
    </row>
    <row r="481" spans="1:245" x14ac:dyDescent="0.2">
      <c r="A481" s="1">
        <v>5</v>
      </c>
      <c r="B481" s="1">
        <v>1</v>
      </c>
      <c r="C481" s="1"/>
      <c r="D481" s="1">
        <f>ROW(A490)</f>
        <v>490</v>
      </c>
      <c r="E481" s="1"/>
      <c r="F481" s="1" t="s">
        <v>100</v>
      </c>
      <c r="G481" s="1" t="s">
        <v>473</v>
      </c>
      <c r="H481" s="1" t="s">
        <v>3</v>
      </c>
      <c r="I481" s="1">
        <v>0</v>
      </c>
      <c r="J481" s="1"/>
      <c r="K481" s="1">
        <v>-1</v>
      </c>
      <c r="L481" s="1"/>
      <c r="M481" s="1" t="s">
        <v>3</v>
      </c>
      <c r="N481" s="1"/>
      <c r="O481" s="1"/>
      <c r="P481" s="1"/>
      <c r="Q481" s="1"/>
      <c r="R481" s="1"/>
      <c r="S481" s="1">
        <v>0</v>
      </c>
      <c r="T481" s="1"/>
      <c r="U481" s="1" t="s">
        <v>3</v>
      </c>
      <c r="V481" s="1">
        <v>0</v>
      </c>
      <c r="W481" s="1"/>
      <c r="X481" s="1"/>
      <c r="Y481" s="1"/>
      <c r="Z481" s="1"/>
      <c r="AA481" s="1"/>
      <c r="AB481" s="1" t="s">
        <v>3</v>
      </c>
      <c r="AC481" s="1" t="s">
        <v>3</v>
      </c>
      <c r="AD481" s="1" t="s">
        <v>3</v>
      </c>
      <c r="AE481" s="1" t="s">
        <v>3</v>
      </c>
      <c r="AF481" s="1" t="s">
        <v>3</v>
      </c>
      <c r="AG481" s="1" t="s">
        <v>3</v>
      </c>
      <c r="AH481" s="1"/>
      <c r="AI481" s="1"/>
      <c r="AJ481" s="1"/>
      <c r="AK481" s="1"/>
      <c r="AL481" s="1"/>
      <c r="AM481" s="1"/>
      <c r="AN481" s="1"/>
      <c r="AO481" s="1"/>
      <c r="AP481" s="1" t="s">
        <v>3</v>
      </c>
      <c r="AQ481" s="1" t="s">
        <v>3</v>
      </c>
      <c r="AR481" s="1" t="s">
        <v>3</v>
      </c>
      <c r="AS481" s="1"/>
      <c r="AT481" s="1"/>
      <c r="AU481" s="1"/>
      <c r="AV481" s="1"/>
      <c r="AW481" s="1"/>
      <c r="AX481" s="1"/>
      <c r="AY481" s="1"/>
      <c r="AZ481" s="1" t="s">
        <v>3</v>
      </c>
      <c r="BA481" s="1"/>
      <c r="BB481" s="1" t="s">
        <v>3</v>
      </c>
      <c r="BC481" s="1" t="s">
        <v>3</v>
      </c>
      <c r="BD481" s="1" t="s">
        <v>3</v>
      </c>
      <c r="BE481" s="1" t="s">
        <v>3</v>
      </c>
      <c r="BF481" s="1" t="s">
        <v>3</v>
      </c>
      <c r="BG481" s="1" t="s">
        <v>3</v>
      </c>
      <c r="BH481" s="1" t="s">
        <v>3</v>
      </c>
      <c r="BI481" s="1" t="s">
        <v>3</v>
      </c>
      <c r="BJ481" s="1" t="s">
        <v>3</v>
      </c>
      <c r="BK481" s="1" t="s">
        <v>3</v>
      </c>
      <c r="BL481" s="1" t="s">
        <v>3</v>
      </c>
      <c r="BM481" s="1" t="s">
        <v>3</v>
      </c>
      <c r="BN481" s="1" t="s">
        <v>3</v>
      </c>
      <c r="BO481" s="1" t="s">
        <v>3</v>
      </c>
      <c r="BP481" s="1" t="s">
        <v>3</v>
      </c>
      <c r="BQ481" s="1"/>
      <c r="BR481" s="1"/>
      <c r="BS481" s="1"/>
      <c r="BT481" s="1"/>
      <c r="BU481" s="1"/>
      <c r="BV481" s="1"/>
      <c r="BW481" s="1"/>
      <c r="BX481" s="1">
        <v>0</v>
      </c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>
        <v>0</v>
      </c>
    </row>
    <row r="483" spans="1:245" x14ac:dyDescent="0.2">
      <c r="A483" s="2">
        <v>52</v>
      </c>
      <c r="B483" s="2">
        <f t="shared" ref="B483:G483" si="454">B490</f>
        <v>1</v>
      </c>
      <c r="C483" s="2">
        <f t="shared" si="454"/>
        <v>5</v>
      </c>
      <c r="D483" s="2">
        <f t="shared" si="454"/>
        <v>481</v>
      </c>
      <c r="E483" s="2">
        <f t="shared" si="454"/>
        <v>0</v>
      </c>
      <c r="F483" s="2" t="str">
        <f t="shared" si="454"/>
        <v>Новый подраздел</v>
      </c>
      <c r="G483" s="2" t="str">
        <f t="shared" si="454"/>
        <v>4.5  Электроустановочные изделия</v>
      </c>
      <c r="H483" s="2"/>
      <c r="I483" s="2"/>
      <c r="J483" s="2"/>
      <c r="K483" s="2"/>
      <c r="L483" s="2"/>
      <c r="M483" s="2"/>
      <c r="N483" s="2"/>
      <c r="O483" s="2">
        <f t="shared" ref="O483:AT483" si="455">O490</f>
        <v>469.8</v>
      </c>
      <c r="P483" s="2">
        <f t="shared" si="455"/>
        <v>25.2</v>
      </c>
      <c r="Q483" s="2">
        <f t="shared" si="455"/>
        <v>0</v>
      </c>
      <c r="R483" s="2">
        <f t="shared" si="455"/>
        <v>0</v>
      </c>
      <c r="S483" s="2">
        <f t="shared" si="455"/>
        <v>444.6</v>
      </c>
      <c r="T483" s="2">
        <f t="shared" si="455"/>
        <v>0</v>
      </c>
      <c r="U483" s="2">
        <f t="shared" si="455"/>
        <v>0.72</v>
      </c>
      <c r="V483" s="2">
        <f t="shared" si="455"/>
        <v>0</v>
      </c>
      <c r="W483" s="2">
        <f t="shared" si="455"/>
        <v>0</v>
      </c>
      <c r="X483" s="2">
        <f t="shared" si="455"/>
        <v>311.22000000000003</v>
      </c>
      <c r="Y483" s="2">
        <f t="shared" si="455"/>
        <v>44.46</v>
      </c>
      <c r="Z483" s="2">
        <f t="shared" si="455"/>
        <v>0</v>
      </c>
      <c r="AA483" s="2">
        <f t="shared" si="455"/>
        <v>0</v>
      </c>
      <c r="AB483" s="2">
        <f t="shared" si="455"/>
        <v>469.8</v>
      </c>
      <c r="AC483" s="2">
        <f t="shared" si="455"/>
        <v>25.2</v>
      </c>
      <c r="AD483" s="2">
        <f t="shared" si="455"/>
        <v>0</v>
      </c>
      <c r="AE483" s="2">
        <f t="shared" si="455"/>
        <v>0</v>
      </c>
      <c r="AF483" s="2">
        <f t="shared" si="455"/>
        <v>444.6</v>
      </c>
      <c r="AG483" s="2">
        <f t="shared" si="455"/>
        <v>0</v>
      </c>
      <c r="AH483" s="2">
        <f t="shared" si="455"/>
        <v>0.72</v>
      </c>
      <c r="AI483" s="2">
        <f t="shared" si="455"/>
        <v>0</v>
      </c>
      <c r="AJ483" s="2">
        <f t="shared" si="455"/>
        <v>0</v>
      </c>
      <c r="AK483" s="2">
        <f t="shared" si="455"/>
        <v>311.22000000000003</v>
      </c>
      <c r="AL483" s="2">
        <f t="shared" si="455"/>
        <v>44.46</v>
      </c>
      <c r="AM483" s="2">
        <f t="shared" si="455"/>
        <v>0</v>
      </c>
      <c r="AN483" s="2">
        <f t="shared" si="455"/>
        <v>0</v>
      </c>
      <c r="AO483" s="2">
        <f t="shared" si="455"/>
        <v>0</v>
      </c>
      <c r="AP483" s="2">
        <f t="shared" si="455"/>
        <v>0</v>
      </c>
      <c r="AQ483" s="2">
        <f t="shared" si="455"/>
        <v>0</v>
      </c>
      <c r="AR483" s="2">
        <f t="shared" si="455"/>
        <v>825.48</v>
      </c>
      <c r="AS483" s="2">
        <f t="shared" si="455"/>
        <v>0</v>
      </c>
      <c r="AT483" s="2">
        <f t="shared" si="455"/>
        <v>0</v>
      </c>
      <c r="AU483" s="2">
        <f t="shared" ref="AU483:BZ483" si="456">AU490</f>
        <v>825.48</v>
      </c>
      <c r="AV483" s="2">
        <f t="shared" si="456"/>
        <v>25.2</v>
      </c>
      <c r="AW483" s="2">
        <f t="shared" si="456"/>
        <v>25.2</v>
      </c>
      <c r="AX483" s="2">
        <f t="shared" si="456"/>
        <v>0</v>
      </c>
      <c r="AY483" s="2">
        <f t="shared" si="456"/>
        <v>25.2</v>
      </c>
      <c r="AZ483" s="2">
        <f t="shared" si="456"/>
        <v>0</v>
      </c>
      <c r="BA483" s="2">
        <f t="shared" si="456"/>
        <v>0</v>
      </c>
      <c r="BB483" s="2">
        <f t="shared" si="456"/>
        <v>0</v>
      </c>
      <c r="BC483" s="2">
        <f t="shared" si="456"/>
        <v>0</v>
      </c>
      <c r="BD483" s="2">
        <f t="shared" si="456"/>
        <v>0</v>
      </c>
      <c r="BE483" s="2">
        <f t="shared" si="456"/>
        <v>0</v>
      </c>
      <c r="BF483" s="2">
        <f t="shared" si="456"/>
        <v>0</v>
      </c>
      <c r="BG483" s="2">
        <f t="shared" si="456"/>
        <v>0</v>
      </c>
      <c r="BH483" s="2">
        <f t="shared" si="456"/>
        <v>0</v>
      </c>
      <c r="BI483" s="2">
        <f t="shared" si="456"/>
        <v>0</v>
      </c>
      <c r="BJ483" s="2">
        <f t="shared" si="456"/>
        <v>0</v>
      </c>
      <c r="BK483" s="2">
        <f t="shared" si="456"/>
        <v>0</v>
      </c>
      <c r="BL483" s="2">
        <f t="shared" si="456"/>
        <v>0</v>
      </c>
      <c r="BM483" s="2">
        <f t="shared" si="456"/>
        <v>0</v>
      </c>
      <c r="BN483" s="2">
        <f t="shared" si="456"/>
        <v>0</v>
      </c>
      <c r="BO483" s="2">
        <f t="shared" si="456"/>
        <v>0</v>
      </c>
      <c r="BP483" s="2">
        <f t="shared" si="456"/>
        <v>0</v>
      </c>
      <c r="BQ483" s="2">
        <f t="shared" si="456"/>
        <v>0</v>
      </c>
      <c r="BR483" s="2">
        <f t="shared" si="456"/>
        <v>0</v>
      </c>
      <c r="BS483" s="2">
        <f t="shared" si="456"/>
        <v>0</v>
      </c>
      <c r="BT483" s="2">
        <f t="shared" si="456"/>
        <v>0</v>
      </c>
      <c r="BU483" s="2">
        <f t="shared" si="456"/>
        <v>0</v>
      </c>
      <c r="BV483" s="2">
        <f t="shared" si="456"/>
        <v>0</v>
      </c>
      <c r="BW483" s="2">
        <f t="shared" si="456"/>
        <v>0</v>
      </c>
      <c r="BX483" s="2">
        <f t="shared" si="456"/>
        <v>0</v>
      </c>
      <c r="BY483" s="2">
        <f t="shared" si="456"/>
        <v>0</v>
      </c>
      <c r="BZ483" s="2">
        <f t="shared" si="456"/>
        <v>0</v>
      </c>
      <c r="CA483" s="2">
        <f t="shared" ref="CA483:DF483" si="457">CA490</f>
        <v>825.48</v>
      </c>
      <c r="CB483" s="2">
        <f t="shared" si="457"/>
        <v>0</v>
      </c>
      <c r="CC483" s="2">
        <f t="shared" si="457"/>
        <v>0</v>
      </c>
      <c r="CD483" s="2">
        <f t="shared" si="457"/>
        <v>825.48</v>
      </c>
      <c r="CE483" s="2">
        <f t="shared" si="457"/>
        <v>25.2</v>
      </c>
      <c r="CF483" s="2">
        <f t="shared" si="457"/>
        <v>25.2</v>
      </c>
      <c r="CG483" s="2">
        <f t="shared" si="457"/>
        <v>0</v>
      </c>
      <c r="CH483" s="2">
        <f t="shared" si="457"/>
        <v>25.2</v>
      </c>
      <c r="CI483" s="2">
        <f t="shared" si="457"/>
        <v>0</v>
      </c>
      <c r="CJ483" s="2">
        <f t="shared" si="457"/>
        <v>0</v>
      </c>
      <c r="CK483" s="2">
        <f t="shared" si="457"/>
        <v>0</v>
      </c>
      <c r="CL483" s="2">
        <f t="shared" si="457"/>
        <v>0</v>
      </c>
      <c r="CM483" s="2">
        <f t="shared" si="457"/>
        <v>0</v>
      </c>
      <c r="CN483" s="2">
        <f t="shared" si="457"/>
        <v>0</v>
      </c>
      <c r="CO483" s="2">
        <f t="shared" si="457"/>
        <v>0</v>
      </c>
      <c r="CP483" s="2">
        <f t="shared" si="457"/>
        <v>0</v>
      </c>
      <c r="CQ483" s="2">
        <f t="shared" si="457"/>
        <v>0</v>
      </c>
      <c r="CR483" s="2">
        <f t="shared" si="457"/>
        <v>0</v>
      </c>
      <c r="CS483" s="2">
        <f t="shared" si="457"/>
        <v>0</v>
      </c>
      <c r="CT483" s="2">
        <f t="shared" si="457"/>
        <v>0</v>
      </c>
      <c r="CU483" s="2">
        <f t="shared" si="457"/>
        <v>0</v>
      </c>
      <c r="CV483" s="2">
        <f t="shared" si="457"/>
        <v>0</v>
      </c>
      <c r="CW483" s="2">
        <f t="shared" si="457"/>
        <v>0</v>
      </c>
      <c r="CX483" s="2">
        <f t="shared" si="457"/>
        <v>0</v>
      </c>
      <c r="CY483" s="2">
        <f t="shared" si="457"/>
        <v>0</v>
      </c>
      <c r="CZ483" s="2">
        <f t="shared" si="457"/>
        <v>0</v>
      </c>
      <c r="DA483" s="2">
        <f t="shared" si="457"/>
        <v>0</v>
      </c>
      <c r="DB483" s="2">
        <f t="shared" si="457"/>
        <v>0</v>
      </c>
      <c r="DC483" s="2">
        <f t="shared" si="457"/>
        <v>0</v>
      </c>
      <c r="DD483" s="2">
        <f t="shared" si="457"/>
        <v>0</v>
      </c>
      <c r="DE483" s="2">
        <f t="shared" si="457"/>
        <v>0</v>
      </c>
      <c r="DF483" s="2">
        <f t="shared" si="457"/>
        <v>0</v>
      </c>
      <c r="DG483" s="3">
        <f t="shared" ref="DG483:EL483" si="458">DG490</f>
        <v>0</v>
      </c>
      <c r="DH483" s="3">
        <f t="shared" si="458"/>
        <v>0</v>
      </c>
      <c r="DI483" s="3">
        <f t="shared" si="458"/>
        <v>0</v>
      </c>
      <c r="DJ483" s="3">
        <f t="shared" si="458"/>
        <v>0</v>
      </c>
      <c r="DK483" s="3">
        <f t="shared" si="458"/>
        <v>0</v>
      </c>
      <c r="DL483" s="3">
        <f t="shared" si="458"/>
        <v>0</v>
      </c>
      <c r="DM483" s="3">
        <f t="shared" si="458"/>
        <v>0</v>
      </c>
      <c r="DN483" s="3">
        <f t="shared" si="458"/>
        <v>0</v>
      </c>
      <c r="DO483" s="3">
        <f t="shared" si="458"/>
        <v>0</v>
      </c>
      <c r="DP483" s="3">
        <f t="shared" si="458"/>
        <v>0</v>
      </c>
      <c r="DQ483" s="3">
        <f t="shared" si="458"/>
        <v>0</v>
      </c>
      <c r="DR483" s="3">
        <f t="shared" si="458"/>
        <v>0</v>
      </c>
      <c r="DS483" s="3">
        <f t="shared" si="458"/>
        <v>0</v>
      </c>
      <c r="DT483" s="3">
        <f t="shared" si="458"/>
        <v>0</v>
      </c>
      <c r="DU483" s="3">
        <f t="shared" si="458"/>
        <v>0</v>
      </c>
      <c r="DV483" s="3">
        <f t="shared" si="458"/>
        <v>0</v>
      </c>
      <c r="DW483" s="3">
        <f t="shared" si="458"/>
        <v>0</v>
      </c>
      <c r="DX483" s="3">
        <f t="shared" si="458"/>
        <v>0</v>
      </c>
      <c r="DY483" s="3">
        <f t="shared" si="458"/>
        <v>0</v>
      </c>
      <c r="DZ483" s="3">
        <f t="shared" si="458"/>
        <v>0</v>
      </c>
      <c r="EA483" s="3">
        <f t="shared" si="458"/>
        <v>0</v>
      </c>
      <c r="EB483" s="3">
        <f t="shared" si="458"/>
        <v>0</v>
      </c>
      <c r="EC483" s="3">
        <f t="shared" si="458"/>
        <v>0</v>
      </c>
      <c r="ED483" s="3">
        <f t="shared" si="458"/>
        <v>0</v>
      </c>
      <c r="EE483" s="3">
        <f t="shared" si="458"/>
        <v>0</v>
      </c>
      <c r="EF483" s="3">
        <f t="shared" si="458"/>
        <v>0</v>
      </c>
      <c r="EG483" s="3">
        <f t="shared" si="458"/>
        <v>0</v>
      </c>
      <c r="EH483" s="3">
        <f t="shared" si="458"/>
        <v>0</v>
      </c>
      <c r="EI483" s="3">
        <f t="shared" si="458"/>
        <v>0</v>
      </c>
      <c r="EJ483" s="3">
        <f t="shared" si="458"/>
        <v>0</v>
      </c>
      <c r="EK483" s="3">
        <f t="shared" si="458"/>
        <v>0</v>
      </c>
      <c r="EL483" s="3">
        <f t="shared" si="458"/>
        <v>0</v>
      </c>
      <c r="EM483" s="3">
        <f t="shared" ref="EM483:FR483" si="459">EM490</f>
        <v>0</v>
      </c>
      <c r="EN483" s="3">
        <f t="shared" si="459"/>
        <v>0</v>
      </c>
      <c r="EO483" s="3">
        <f t="shared" si="459"/>
        <v>0</v>
      </c>
      <c r="EP483" s="3">
        <f t="shared" si="459"/>
        <v>0</v>
      </c>
      <c r="EQ483" s="3">
        <f t="shared" si="459"/>
        <v>0</v>
      </c>
      <c r="ER483" s="3">
        <f t="shared" si="459"/>
        <v>0</v>
      </c>
      <c r="ES483" s="3">
        <f t="shared" si="459"/>
        <v>0</v>
      </c>
      <c r="ET483" s="3">
        <f t="shared" si="459"/>
        <v>0</v>
      </c>
      <c r="EU483" s="3">
        <f t="shared" si="459"/>
        <v>0</v>
      </c>
      <c r="EV483" s="3">
        <f t="shared" si="459"/>
        <v>0</v>
      </c>
      <c r="EW483" s="3">
        <f t="shared" si="459"/>
        <v>0</v>
      </c>
      <c r="EX483" s="3">
        <f t="shared" si="459"/>
        <v>0</v>
      </c>
      <c r="EY483" s="3">
        <f t="shared" si="459"/>
        <v>0</v>
      </c>
      <c r="EZ483" s="3">
        <f t="shared" si="459"/>
        <v>0</v>
      </c>
      <c r="FA483" s="3">
        <f t="shared" si="459"/>
        <v>0</v>
      </c>
      <c r="FB483" s="3">
        <f t="shared" si="459"/>
        <v>0</v>
      </c>
      <c r="FC483" s="3">
        <f t="shared" si="459"/>
        <v>0</v>
      </c>
      <c r="FD483" s="3">
        <f t="shared" si="459"/>
        <v>0</v>
      </c>
      <c r="FE483" s="3">
        <f t="shared" si="459"/>
        <v>0</v>
      </c>
      <c r="FF483" s="3">
        <f t="shared" si="459"/>
        <v>0</v>
      </c>
      <c r="FG483" s="3">
        <f t="shared" si="459"/>
        <v>0</v>
      </c>
      <c r="FH483" s="3">
        <f t="shared" si="459"/>
        <v>0</v>
      </c>
      <c r="FI483" s="3">
        <f t="shared" si="459"/>
        <v>0</v>
      </c>
      <c r="FJ483" s="3">
        <f t="shared" si="459"/>
        <v>0</v>
      </c>
      <c r="FK483" s="3">
        <f t="shared" si="459"/>
        <v>0</v>
      </c>
      <c r="FL483" s="3">
        <f t="shared" si="459"/>
        <v>0</v>
      </c>
      <c r="FM483" s="3">
        <f t="shared" si="459"/>
        <v>0</v>
      </c>
      <c r="FN483" s="3">
        <f t="shared" si="459"/>
        <v>0</v>
      </c>
      <c r="FO483" s="3">
        <f t="shared" si="459"/>
        <v>0</v>
      </c>
      <c r="FP483" s="3">
        <f t="shared" si="459"/>
        <v>0</v>
      </c>
      <c r="FQ483" s="3">
        <f t="shared" si="459"/>
        <v>0</v>
      </c>
      <c r="FR483" s="3">
        <f t="shared" si="459"/>
        <v>0</v>
      </c>
      <c r="FS483" s="3">
        <f t="shared" ref="FS483:GX483" si="460">FS490</f>
        <v>0</v>
      </c>
      <c r="FT483" s="3">
        <f t="shared" si="460"/>
        <v>0</v>
      </c>
      <c r="FU483" s="3">
        <f t="shared" si="460"/>
        <v>0</v>
      </c>
      <c r="FV483" s="3">
        <f t="shared" si="460"/>
        <v>0</v>
      </c>
      <c r="FW483" s="3">
        <f t="shared" si="460"/>
        <v>0</v>
      </c>
      <c r="FX483" s="3">
        <f t="shared" si="460"/>
        <v>0</v>
      </c>
      <c r="FY483" s="3">
        <f t="shared" si="460"/>
        <v>0</v>
      </c>
      <c r="FZ483" s="3">
        <f t="shared" si="460"/>
        <v>0</v>
      </c>
      <c r="GA483" s="3">
        <f t="shared" si="460"/>
        <v>0</v>
      </c>
      <c r="GB483" s="3">
        <f t="shared" si="460"/>
        <v>0</v>
      </c>
      <c r="GC483" s="3">
        <f t="shared" si="460"/>
        <v>0</v>
      </c>
      <c r="GD483" s="3">
        <f t="shared" si="460"/>
        <v>0</v>
      </c>
      <c r="GE483" s="3">
        <f t="shared" si="460"/>
        <v>0</v>
      </c>
      <c r="GF483" s="3">
        <f t="shared" si="460"/>
        <v>0</v>
      </c>
      <c r="GG483" s="3">
        <f t="shared" si="460"/>
        <v>0</v>
      </c>
      <c r="GH483" s="3">
        <f t="shared" si="460"/>
        <v>0</v>
      </c>
      <c r="GI483" s="3">
        <f t="shared" si="460"/>
        <v>0</v>
      </c>
      <c r="GJ483" s="3">
        <f t="shared" si="460"/>
        <v>0</v>
      </c>
      <c r="GK483" s="3">
        <f t="shared" si="460"/>
        <v>0</v>
      </c>
      <c r="GL483" s="3">
        <f t="shared" si="460"/>
        <v>0</v>
      </c>
      <c r="GM483" s="3">
        <f t="shared" si="460"/>
        <v>0</v>
      </c>
      <c r="GN483" s="3">
        <f t="shared" si="460"/>
        <v>0</v>
      </c>
      <c r="GO483" s="3">
        <f t="shared" si="460"/>
        <v>0</v>
      </c>
      <c r="GP483" s="3">
        <f t="shared" si="460"/>
        <v>0</v>
      </c>
      <c r="GQ483" s="3">
        <f t="shared" si="460"/>
        <v>0</v>
      </c>
      <c r="GR483" s="3">
        <f t="shared" si="460"/>
        <v>0</v>
      </c>
      <c r="GS483" s="3">
        <f t="shared" si="460"/>
        <v>0</v>
      </c>
      <c r="GT483" s="3">
        <f t="shared" si="460"/>
        <v>0</v>
      </c>
      <c r="GU483" s="3">
        <f t="shared" si="460"/>
        <v>0</v>
      </c>
      <c r="GV483" s="3">
        <f t="shared" si="460"/>
        <v>0</v>
      </c>
      <c r="GW483" s="3">
        <f t="shared" si="460"/>
        <v>0</v>
      </c>
      <c r="GX483" s="3">
        <f t="shared" si="460"/>
        <v>0</v>
      </c>
    </row>
    <row r="485" spans="1:245" x14ac:dyDescent="0.2">
      <c r="A485">
        <v>17</v>
      </c>
      <c r="B485">
        <v>1</v>
      </c>
      <c r="D485">
        <f>ROW(EtalonRes!A348)</f>
        <v>348</v>
      </c>
      <c r="E485" t="s">
        <v>3</v>
      </c>
      <c r="F485" t="s">
        <v>474</v>
      </c>
      <c r="G485" t="s">
        <v>475</v>
      </c>
      <c r="H485" t="s">
        <v>40</v>
      </c>
      <c r="I485">
        <f>ROUND((28+7+4+1)/10,9)</f>
        <v>4</v>
      </c>
      <c r="J485">
        <v>0</v>
      </c>
      <c r="K485">
        <f>ROUND((28+7+4+1)/10,9)</f>
        <v>4</v>
      </c>
      <c r="O485">
        <f>ROUND(CP485,2)</f>
        <v>1013.2</v>
      </c>
      <c r="P485">
        <f>ROUND(CQ485*I485,2)</f>
        <v>25.2</v>
      </c>
      <c r="Q485">
        <f>ROUND(CR485*I485,2)</f>
        <v>0</v>
      </c>
      <c r="R485">
        <f>ROUND(CS485*I485,2)</f>
        <v>0</v>
      </c>
      <c r="S485">
        <f>ROUND(CT485*I485,2)</f>
        <v>988</v>
      </c>
      <c r="T485">
        <f>ROUND(CU485*I485,2)</f>
        <v>0</v>
      </c>
      <c r="U485">
        <f>CV485*I485</f>
        <v>1.6</v>
      </c>
      <c r="V485">
        <f>CW485*I485</f>
        <v>0</v>
      </c>
      <c r="W485">
        <f>ROUND(CX485*I485,2)</f>
        <v>0</v>
      </c>
      <c r="X485">
        <f t="shared" ref="X485:Y488" si="461">ROUND(CY485,2)</f>
        <v>691.6</v>
      </c>
      <c r="Y485">
        <f t="shared" si="461"/>
        <v>98.8</v>
      </c>
      <c r="AA485">
        <v>-1</v>
      </c>
      <c r="AB485">
        <f>ROUND((AC485+AD485+AF485),6)</f>
        <v>253.3</v>
      </c>
      <c r="AC485">
        <f>ROUND((ES485),6)</f>
        <v>6.3</v>
      </c>
      <c r="AD485">
        <f>ROUND((((ET485)-(EU485))+AE485),6)</f>
        <v>0</v>
      </c>
      <c r="AE485">
        <f>ROUND((EU485),6)</f>
        <v>0</v>
      </c>
      <c r="AF485">
        <f>ROUND((EV485),6)</f>
        <v>247</v>
      </c>
      <c r="AG485">
        <f>ROUND((AP485),6)</f>
        <v>0</v>
      </c>
      <c r="AH485">
        <f>(EW485)</f>
        <v>0.4</v>
      </c>
      <c r="AI485">
        <f>(EX485)</f>
        <v>0</v>
      </c>
      <c r="AJ485">
        <f>(AS485)</f>
        <v>0</v>
      </c>
      <c r="AK485">
        <v>253.3</v>
      </c>
      <c r="AL485">
        <v>6.3</v>
      </c>
      <c r="AM485">
        <v>0</v>
      </c>
      <c r="AN485">
        <v>0</v>
      </c>
      <c r="AO485">
        <v>247</v>
      </c>
      <c r="AP485">
        <v>0</v>
      </c>
      <c r="AQ485">
        <v>0.4</v>
      </c>
      <c r="AR485">
        <v>0</v>
      </c>
      <c r="AS485">
        <v>0</v>
      </c>
      <c r="AT485">
        <v>70</v>
      </c>
      <c r="AU485">
        <v>10</v>
      </c>
      <c r="AV485">
        <v>1</v>
      </c>
      <c r="AW485">
        <v>1</v>
      </c>
      <c r="AZ485">
        <v>1</v>
      </c>
      <c r="BA485">
        <v>1</v>
      </c>
      <c r="BB485">
        <v>1</v>
      </c>
      <c r="BC485">
        <v>1</v>
      </c>
      <c r="BD485" t="s">
        <v>3</v>
      </c>
      <c r="BE485" t="s">
        <v>3</v>
      </c>
      <c r="BF485" t="s">
        <v>3</v>
      </c>
      <c r="BG485" t="s">
        <v>3</v>
      </c>
      <c r="BH485">
        <v>0</v>
      </c>
      <c r="BI485">
        <v>4</v>
      </c>
      <c r="BJ485" t="s">
        <v>476</v>
      </c>
      <c r="BM485">
        <v>0</v>
      </c>
      <c r="BN485">
        <v>0</v>
      </c>
      <c r="BO485" t="s">
        <v>3</v>
      </c>
      <c r="BP485">
        <v>0</v>
      </c>
      <c r="BQ485">
        <v>1</v>
      </c>
      <c r="BR485">
        <v>0</v>
      </c>
      <c r="BS485">
        <v>1</v>
      </c>
      <c r="BT485">
        <v>1</v>
      </c>
      <c r="BU485">
        <v>1</v>
      </c>
      <c r="BV485">
        <v>1</v>
      </c>
      <c r="BW485">
        <v>1</v>
      </c>
      <c r="BX485">
        <v>1</v>
      </c>
      <c r="BY485" t="s">
        <v>3</v>
      </c>
      <c r="BZ485">
        <v>70</v>
      </c>
      <c r="CA485">
        <v>10</v>
      </c>
      <c r="CB485" t="s">
        <v>3</v>
      </c>
      <c r="CE485">
        <v>0</v>
      </c>
      <c r="CF485">
        <v>0</v>
      </c>
      <c r="CG485">
        <v>0</v>
      </c>
      <c r="CM485">
        <v>0</v>
      </c>
      <c r="CN485" t="s">
        <v>3</v>
      </c>
      <c r="CO485">
        <v>0</v>
      </c>
      <c r="CP485">
        <f>(P485+Q485+S485)</f>
        <v>1013.2</v>
      </c>
      <c r="CQ485">
        <f>(AC485*BC485*AW485)</f>
        <v>6.3</v>
      </c>
      <c r="CR485">
        <f>((((ET485)*BB485-(EU485)*BS485)+AE485*BS485)*AV485)</f>
        <v>0</v>
      </c>
      <c r="CS485">
        <f>(AE485*BS485*AV485)</f>
        <v>0</v>
      </c>
      <c r="CT485">
        <f>(AF485*BA485*AV485)</f>
        <v>247</v>
      </c>
      <c r="CU485">
        <f>AG485</f>
        <v>0</v>
      </c>
      <c r="CV485">
        <f>(AH485*AV485)</f>
        <v>0.4</v>
      </c>
      <c r="CW485">
        <f t="shared" ref="CW485:CX488" si="462">AI485</f>
        <v>0</v>
      </c>
      <c r="CX485">
        <f t="shared" si="462"/>
        <v>0</v>
      </c>
      <c r="CY485">
        <f>((S485*BZ485)/100)</f>
        <v>691.6</v>
      </c>
      <c r="CZ485">
        <f>((S485*CA485)/100)</f>
        <v>98.8</v>
      </c>
      <c r="DC485" t="s">
        <v>3</v>
      </c>
      <c r="DD485" t="s">
        <v>3</v>
      </c>
      <c r="DE485" t="s">
        <v>3</v>
      </c>
      <c r="DF485" t="s">
        <v>3</v>
      </c>
      <c r="DG485" t="s">
        <v>3</v>
      </c>
      <c r="DH485" t="s">
        <v>3</v>
      </c>
      <c r="DI485" t="s">
        <v>3</v>
      </c>
      <c r="DJ485" t="s">
        <v>3</v>
      </c>
      <c r="DK485" t="s">
        <v>3</v>
      </c>
      <c r="DL485" t="s">
        <v>3</v>
      </c>
      <c r="DM485" t="s">
        <v>3</v>
      </c>
      <c r="DN485">
        <v>0</v>
      </c>
      <c r="DO485">
        <v>0</v>
      </c>
      <c r="DP485">
        <v>1</v>
      </c>
      <c r="DQ485">
        <v>1</v>
      </c>
      <c r="DU485">
        <v>16987630</v>
      </c>
      <c r="DV485" t="s">
        <v>40</v>
      </c>
      <c r="DW485" t="s">
        <v>40</v>
      </c>
      <c r="DX485">
        <v>10</v>
      </c>
      <c r="DZ485" t="s">
        <v>3</v>
      </c>
      <c r="EA485" t="s">
        <v>3</v>
      </c>
      <c r="EB485" t="s">
        <v>3</v>
      </c>
      <c r="EC485" t="s">
        <v>3</v>
      </c>
      <c r="EE485">
        <v>1441815344</v>
      </c>
      <c r="EF485">
        <v>1</v>
      </c>
      <c r="EG485" t="s">
        <v>19</v>
      </c>
      <c r="EH485">
        <v>0</v>
      </c>
      <c r="EI485" t="s">
        <v>3</v>
      </c>
      <c r="EJ485">
        <v>4</v>
      </c>
      <c r="EK485">
        <v>0</v>
      </c>
      <c r="EL485" t="s">
        <v>20</v>
      </c>
      <c r="EM485" t="s">
        <v>21</v>
      </c>
      <c r="EO485" t="s">
        <v>3</v>
      </c>
      <c r="EQ485">
        <v>1024</v>
      </c>
      <c r="ER485">
        <v>253.3</v>
      </c>
      <c r="ES485">
        <v>6.3</v>
      </c>
      <c r="ET485">
        <v>0</v>
      </c>
      <c r="EU485">
        <v>0</v>
      </c>
      <c r="EV485">
        <v>247</v>
      </c>
      <c r="EW485">
        <v>0.4</v>
      </c>
      <c r="EX485">
        <v>0</v>
      </c>
      <c r="EY485">
        <v>0</v>
      </c>
      <c r="FQ485">
        <v>0</v>
      </c>
      <c r="FR485">
        <f>ROUND(IF(BI485=3,GM485,0),2)</f>
        <v>0</v>
      </c>
      <c r="FS485">
        <v>0</v>
      </c>
      <c r="FX485">
        <v>70</v>
      </c>
      <c r="FY485">
        <v>10</v>
      </c>
      <c r="GA485" t="s">
        <v>3</v>
      </c>
      <c r="GD485">
        <v>0</v>
      </c>
      <c r="GF485">
        <v>526043079</v>
      </c>
      <c r="GG485">
        <v>2</v>
      </c>
      <c r="GH485">
        <v>1</v>
      </c>
      <c r="GI485">
        <v>-2</v>
      </c>
      <c r="GJ485">
        <v>0</v>
      </c>
      <c r="GK485">
        <f>ROUND(R485*(R12)/100,2)</f>
        <v>0</v>
      </c>
      <c r="GL485">
        <f>ROUND(IF(AND(BH485=3,BI485=3,FS485&lt;&gt;0),P485,0),2)</f>
        <v>0</v>
      </c>
      <c r="GM485">
        <f>ROUND(O485+X485+Y485+GK485,2)+GX485</f>
        <v>1803.6</v>
      </c>
      <c r="GN485">
        <f>IF(OR(BI485=0,BI485=1),GM485-GX485,0)</f>
        <v>0</v>
      </c>
      <c r="GO485">
        <f>IF(BI485=2,GM485-GX485,0)</f>
        <v>0</v>
      </c>
      <c r="GP485">
        <f>IF(BI485=4,GM485-GX485,0)</f>
        <v>1803.6</v>
      </c>
      <c r="GR485">
        <v>0</v>
      </c>
      <c r="GS485">
        <v>3</v>
      </c>
      <c r="GT485">
        <v>0</v>
      </c>
      <c r="GU485" t="s">
        <v>3</v>
      </c>
      <c r="GV485">
        <f>ROUND((GT485),6)</f>
        <v>0</v>
      </c>
      <c r="GW485">
        <v>1</v>
      </c>
      <c r="GX485">
        <f>ROUND(HC485*I485,2)</f>
        <v>0</v>
      </c>
      <c r="HA485">
        <v>0</v>
      </c>
      <c r="HB485">
        <v>0</v>
      </c>
      <c r="HC485">
        <f>GV485*GW485</f>
        <v>0</v>
      </c>
      <c r="HE485" t="s">
        <v>3</v>
      </c>
      <c r="HF485" t="s">
        <v>3</v>
      </c>
      <c r="HM485" t="s">
        <v>3</v>
      </c>
      <c r="HN485" t="s">
        <v>3</v>
      </c>
      <c r="HO485" t="s">
        <v>3</v>
      </c>
      <c r="HP485" t="s">
        <v>3</v>
      </c>
      <c r="HQ485" t="s">
        <v>3</v>
      </c>
      <c r="IK485">
        <v>0</v>
      </c>
    </row>
    <row r="486" spans="1:245" x14ac:dyDescent="0.2">
      <c r="A486">
        <v>17</v>
      </c>
      <c r="B486">
        <v>1</v>
      </c>
      <c r="D486">
        <f>ROW(EtalonRes!A350)</f>
        <v>350</v>
      </c>
      <c r="E486" t="s">
        <v>477</v>
      </c>
      <c r="F486" t="s">
        <v>478</v>
      </c>
      <c r="G486" t="s">
        <v>479</v>
      </c>
      <c r="H486" t="s">
        <v>40</v>
      </c>
      <c r="I486">
        <f>ROUND((28+7+4+1)/10,9)</f>
        <v>4</v>
      </c>
      <c r="J486">
        <v>0</v>
      </c>
      <c r="K486">
        <f>ROUND((28+7+4+1)/10,9)</f>
        <v>4</v>
      </c>
      <c r="O486">
        <f>ROUND(CP486,2)</f>
        <v>469.8</v>
      </c>
      <c r="P486">
        <f>ROUND(CQ486*I486,2)</f>
        <v>25.2</v>
      </c>
      <c r="Q486">
        <f>ROUND(CR486*I486,2)</f>
        <v>0</v>
      </c>
      <c r="R486">
        <f>ROUND(CS486*I486,2)</f>
        <v>0</v>
      </c>
      <c r="S486">
        <f>ROUND(CT486*I486,2)</f>
        <v>444.6</v>
      </c>
      <c r="T486">
        <f>ROUND(CU486*I486,2)</f>
        <v>0</v>
      </c>
      <c r="U486">
        <f>CV486*I486</f>
        <v>0.72</v>
      </c>
      <c r="V486">
        <f>CW486*I486</f>
        <v>0</v>
      </c>
      <c r="W486">
        <f>ROUND(CX486*I486,2)</f>
        <v>0</v>
      </c>
      <c r="X486">
        <f t="shared" si="461"/>
        <v>311.22000000000003</v>
      </c>
      <c r="Y486">
        <f t="shared" si="461"/>
        <v>44.46</v>
      </c>
      <c r="AA486">
        <v>1471988752</v>
      </c>
      <c r="AB486">
        <f>ROUND((AC486+AD486+AF486),6)</f>
        <v>117.45</v>
      </c>
      <c r="AC486">
        <f>ROUND((ES486),6)</f>
        <v>6.3</v>
      </c>
      <c r="AD486">
        <f>ROUND((((ET486)-(EU486))+AE486),6)</f>
        <v>0</v>
      </c>
      <c r="AE486">
        <f>ROUND((EU486),6)</f>
        <v>0</v>
      </c>
      <c r="AF486">
        <f>ROUND((EV486),6)</f>
        <v>111.15</v>
      </c>
      <c r="AG486">
        <f>ROUND((AP486),6)</f>
        <v>0</v>
      </c>
      <c r="AH486">
        <f>(EW486)</f>
        <v>0.18</v>
      </c>
      <c r="AI486">
        <f>(EX486)</f>
        <v>0</v>
      </c>
      <c r="AJ486">
        <f>(AS486)</f>
        <v>0</v>
      </c>
      <c r="AK486">
        <v>117.45</v>
      </c>
      <c r="AL486">
        <v>6.3</v>
      </c>
      <c r="AM486">
        <v>0</v>
      </c>
      <c r="AN486">
        <v>0</v>
      </c>
      <c r="AO486">
        <v>111.15</v>
      </c>
      <c r="AP486">
        <v>0</v>
      </c>
      <c r="AQ486">
        <v>0.18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480</v>
      </c>
      <c r="BM486">
        <v>0</v>
      </c>
      <c r="BN486">
        <v>0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>(P486+Q486+S486)</f>
        <v>469.8</v>
      </c>
      <c r="CQ486">
        <f>(AC486*BC486*AW486)</f>
        <v>6.3</v>
      </c>
      <c r="CR486">
        <f>((((ET486)*BB486-(EU486)*BS486)+AE486*BS486)*AV486)</f>
        <v>0</v>
      </c>
      <c r="CS486">
        <f>(AE486*BS486*AV486)</f>
        <v>0</v>
      </c>
      <c r="CT486">
        <f>(AF486*BA486*AV486)</f>
        <v>111.15</v>
      </c>
      <c r="CU486">
        <f>AG486</f>
        <v>0</v>
      </c>
      <c r="CV486">
        <f>(AH486*AV486)</f>
        <v>0.18</v>
      </c>
      <c r="CW486">
        <f t="shared" si="462"/>
        <v>0</v>
      </c>
      <c r="CX486">
        <f t="shared" si="462"/>
        <v>0</v>
      </c>
      <c r="CY486">
        <f>((S486*BZ486)/100)</f>
        <v>311.22000000000003</v>
      </c>
      <c r="CZ486">
        <f>((S486*CA486)/100)</f>
        <v>44.46</v>
      </c>
      <c r="DC486" t="s">
        <v>3</v>
      </c>
      <c r="DD486" t="s">
        <v>3</v>
      </c>
      <c r="DE486" t="s">
        <v>3</v>
      </c>
      <c r="DF486" t="s">
        <v>3</v>
      </c>
      <c r="DG486" t="s">
        <v>3</v>
      </c>
      <c r="DH486" t="s">
        <v>3</v>
      </c>
      <c r="DI486" t="s">
        <v>3</v>
      </c>
      <c r="DJ486" t="s">
        <v>3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16987630</v>
      </c>
      <c r="DV486" t="s">
        <v>40</v>
      </c>
      <c r="DW486" t="s">
        <v>40</v>
      </c>
      <c r="DX486">
        <v>10</v>
      </c>
      <c r="DZ486" t="s">
        <v>3</v>
      </c>
      <c r="EA486" t="s">
        <v>3</v>
      </c>
      <c r="EB486" t="s">
        <v>3</v>
      </c>
      <c r="EC486" t="s">
        <v>3</v>
      </c>
      <c r="EE486">
        <v>1441815344</v>
      </c>
      <c r="EF486">
        <v>1</v>
      </c>
      <c r="EG486" t="s">
        <v>19</v>
      </c>
      <c r="EH486">
        <v>0</v>
      </c>
      <c r="EI486" t="s">
        <v>3</v>
      </c>
      <c r="EJ486">
        <v>4</v>
      </c>
      <c r="EK486">
        <v>0</v>
      </c>
      <c r="EL486" t="s">
        <v>20</v>
      </c>
      <c r="EM486" t="s">
        <v>21</v>
      </c>
      <c r="EO486" t="s">
        <v>3</v>
      </c>
      <c r="EQ486">
        <v>0</v>
      </c>
      <c r="ER486">
        <v>117.45</v>
      </c>
      <c r="ES486">
        <v>6.3</v>
      </c>
      <c r="ET486">
        <v>0</v>
      </c>
      <c r="EU486">
        <v>0</v>
      </c>
      <c r="EV486">
        <v>111.15</v>
      </c>
      <c r="EW486">
        <v>0.18</v>
      </c>
      <c r="EX486">
        <v>0</v>
      </c>
      <c r="EY486">
        <v>0</v>
      </c>
      <c r="FQ486">
        <v>0</v>
      </c>
      <c r="FR486">
        <f>ROUND(IF(BI486=3,GM486,0),2)</f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1310870617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>ROUND(IF(AND(BH486=3,BI486=3,FS486&lt;&gt;0),P486,0),2)</f>
        <v>0</v>
      </c>
      <c r="GM486">
        <f>ROUND(O486+X486+Y486+GK486,2)+GX486</f>
        <v>825.48</v>
      </c>
      <c r="GN486">
        <f>IF(OR(BI486=0,BI486=1),GM486-GX486,0)</f>
        <v>0</v>
      </c>
      <c r="GO486">
        <f>IF(BI486=2,GM486-GX486,0)</f>
        <v>0</v>
      </c>
      <c r="GP486">
        <f>IF(BI486=4,GM486-GX486,0)</f>
        <v>825.48</v>
      </c>
      <c r="GR486">
        <v>0</v>
      </c>
      <c r="GS486">
        <v>3</v>
      </c>
      <c r="GT486">
        <v>0</v>
      </c>
      <c r="GU486" t="s">
        <v>3</v>
      </c>
      <c r="GV486">
        <f>ROUND((GT486),6)</f>
        <v>0</v>
      </c>
      <c r="GW486">
        <v>1</v>
      </c>
      <c r="GX486">
        <f>ROUND(HC486*I486,2)</f>
        <v>0</v>
      </c>
      <c r="HA486">
        <v>0</v>
      </c>
      <c r="HB486">
        <v>0</v>
      </c>
      <c r="HC486">
        <f>GV486*GW486</f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17</v>
      </c>
      <c r="B487">
        <v>1</v>
      </c>
      <c r="D487">
        <f>ROW(EtalonRes!A351)</f>
        <v>351</v>
      </c>
      <c r="E487" t="s">
        <v>3</v>
      </c>
      <c r="F487" t="s">
        <v>481</v>
      </c>
      <c r="G487" t="s">
        <v>482</v>
      </c>
      <c r="H487" t="s">
        <v>483</v>
      </c>
      <c r="I487">
        <f>ROUND(((28+7+4+1)/10)*0.1,9)</f>
        <v>0.4</v>
      </c>
      <c r="J487">
        <v>0</v>
      </c>
      <c r="K487">
        <f>ROUND(((28+7+4+1)/10)*0.1,9)</f>
        <v>0.4</v>
      </c>
      <c r="O487">
        <f>ROUND(CP487,2)</f>
        <v>97.31</v>
      </c>
      <c r="P487">
        <f>ROUND(CQ487*I487,2)</f>
        <v>0</v>
      </c>
      <c r="Q487">
        <f>ROUND(CR487*I487,2)</f>
        <v>0</v>
      </c>
      <c r="R487">
        <f>ROUND(CS487*I487,2)</f>
        <v>0</v>
      </c>
      <c r="S487">
        <f>ROUND(CT487*I487,2)</f>
        <v>97.31</v>
      </c>
      <c r="T487">
        <f>ROUND(CU487*I487,2)</f>
        <v>0</v>
      </c>
      <c r="U487">
        <f>CV487*I487</f>
        <v>0.192</v>
      </c>
      <c r="V487">
        <f>CW487*I487</f>
        <v>0</v>
      </c>
      <c r="W487">
        <f>ROUND(CX487*I487,2)</f>
        <v>0</v>
      </c>
      <c r="X487">
        <f t="shared" si="461"/>
        <v>68.12</v>
      </c>
      <c r="Y487">
        <f t="shared" si="461"/>
        <v>9.73</v>
      </c>
      <c r="AA487">
        <v>-1</v>
      </c>
      <c r="AB487">
        <f>ROUND((AC487+AD487+AF487),6)</f>
        <v>243.28</v>
      </c>
      <c r="AC487">
        <f>ROUND(((ES487*2)),6)</f>
        <v>0</v>
      </c>
      <c r="AD487">
        <f>ROUND(((((ET487*2))-((EU487*2)))+AE487),6)</f>
        <v>0</v>
      </c>
      <c r="AE487">
        <f>ROUND(((EU487*2)),6)</f>
        <v>0</v>
      </c>
      <c r="AF487">
        <f>ROUND(((EV487*2)),6)</f>
        <v>243.28</v>
      </c>
      <c r="AG487">
        <f>ROUND((AP487),6)</f>
        <v>0</v>
      </c>
      <c r="AH487">
        <f>((EW487*2))</f>
        <v>0.48</v>
      </c>
      <c r="AI487">
        <f>((EX487*2))</f>
        <v>0</v>
      </c>
      <c r="AJ487">
        <f>(AS487)</f>
        <v>0</v>
      </c>
      <c r="AK487">
        <v>121.64</v>
      </c>
      <c r="AL487">
        <v>0</v>
      </c>
      <c r="AM487">
        <v>0</v>
      </c>
      <c r="AN487">
        <v>0</v>
      </c>
      <c r="AO487">
        <v>121.64</v>
      </c>
      <c r="AP487">
        <v>0</v>
      </c>
      <c r="AQ487">
        <v>0.24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0</v>
      </c>
      <c r="BI487">
        <v>4</v>
      </c>
      <c r="BJ487" t="s">
        <v>484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>(P487+Q487+S487)</f>
        <v>97.31</v>
      </c>
      <c r="CQ487">
        <f>(AC487*BC487*AW487)</f>
        <v>0</v>
      </c>
      <c r="CR487">
        <f>(((((ET487*2))*BB487-((EU487*2))*BS487)+AE487*BS487)*AV487)</f>
        <v>0</v>
      </c>
      <c r="CS487">
        <f>(AE487*BS487*AV487)</f>
        <v>0</v>
      </c>
      <c r="CT487">
        <f>(AF487*BA487*AV487)</f>
        <v>243.28</v>
      </c>
      <c r="CU487">
        <f>AG487</f>
        <v>0</v>
      </c>
      <c r="CV487">
        <f>(AH487*AV487)</f>
        <v>0.48</v>
      </c>
      <c r="CW487">
        <f t="shared" si="462"/>
        <v>0</v>
      </c>
      <c r="CX487">
        <f t="shared" si="462"/>
        <v>0</v>
      </c>
      <c r="CY487">
        <f>((S487*BZ487)/100)</f>
        <v>68.117000000000004</v>
      </c>
      <c r="CZ487">
        <f>((S487*CA487)/100)</f>
        <v>9.7309999999999999</v>
      </c>
      <c r="DC487" t="s">
        <v>3</v>
      </c>
      <c r="DD487" t="s">
        <v>117</v>
      </c>
      <c r="DE487" t="s">
        <v>117</v>
      </c>
      <c r="DF487" t="s">
        <v>117</v>
      </c>
      <c r="DG487" t="s">
        <v>117</v>
      </c>
      <c r="DH487" t="s">
        <v>3</v>
      </c>
      <c r="DI487" t="s">
        <v>117</v>
      </c>
      <c r="DJ487" t="s">
        <v>117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16987630</v>
      </c>
      <c r="DV487" t="s">
        <v>483</v>
      </c>
      <c r="DW487" t="s">
        <v>483</v>
      </c>
      <c r="DX487">
        <v>100</v>
      </c>
      <c r="DZ487" t="s">
        <v>3</v>
      </c>
      <c r="EA487" t="s">
        <v>3</v>
      </c>
      <c r="EB487" t="s">
        <v>3</v>
      </c>
      <c r="EC487" t="s">
        <v>3</v>
      </c>
      <c r="EE487">
        <v>1441815344</v>
      </c>
      <c r="EF487">
        <v>1</v>
      </c>
      <c r="EG487" t="s">
        <v>19</v>
      </c>
      <c r="EH487">
        <v>0</v>
      </c>
      <c r="EI487" t="s">
        <v>3</v>
      </c>
      <c r="EJ487">
        <v>4</v>
      </c>
      <c r="EK487">
        <v>0</v>
      </c>
      <c r="EL487" t="s">
        <v>20</v>
      </c>
      <c r="EM487" t="s">
        <v>21</v>
      </c>
      <c r="EO487" t="s">
        <v>3</v>
      </c>
      <c r="EQ487">
        <v>1024</v>
      </c>
      <c r="ER487">
        <v>121.64</v>
      </c>
      <c r="ES487">
        <v>0</v>
      </c>
      <c r="ET487">
        <v>0</v>
      </c>
      <c r="EU487">
        <v>0</v>
      </c>
      <c r="EV487">
        <v>121.64</v>
      </c>
      <c r="EW487">
        <v>0.24</v>
      </c>
      <c r="EX487">
        <v>0</v>
      </c>
      <c r="EY487">
        <v>0</v>
      </c>
      <c r="FQ487">
        <v>0</v>
      </c>
      <c r="FR487">
        <f>ROUND(IF(BI487=3,GM487,0),2)</f>
        <v>0</v>
      </c>
      <c r="FS487">
        <v>0</v>
      </c>
      <c r="FX487">
        <v>70</v>
      </c>
      <c r="FY487">
        <v>10</v>
      </c>
      <c r="GA487" t="s">
        <v>3</v>
      </c>
      <c r="GD487">
        <v>0</v>
      </c>
      <c r="GF487">
        <v>1019270866</v>
      </c>
      <c r="GG487">
        <v>2</v>
      </c>
      <c r="GH487">
        <v>1</v>
      </c>
      <c r="GI487">
        <v>-2</v>
      </c>
      <c r="GJ487">
        <v>0</v>
      </c>
      <c r="GK487">
        <f>ROUND(R487*(R12)/100,2)</f>
        <v>0</v>
      </c>
      <c r="GL487">
        <f>ROUND(IF(AND(BH487=3,BI487=3,FS487&lt;&gt;0),P487,0),2)</f>
        <v>0</v>
      </c>
      <c r="GM487">
        <f>ROUND(O487+X487+Y487+GK487,2)+GX487</f>
        <v>175.16</v>
      </c>
      <c r="GN487">
        <f>IF(OR(BI487=0,BI487=1),GM487-GX487,0)</f>
        <v>0</v>
      </c>
      <c r="GO487">
        <f>IF(BI487=2,GM487-GX487,0)</f>
        <v>0</v>
      </c>
      <c r="GP487">
        <f>IF(BI487=4,GM487-GX487,0)</f>
        <v>175.16</v>
      </c>
      <c r="GR487">
        <v>0</v>
      </c>
      <c r="GS487">
        <v>3</v>
      </c>
      <c r="GT487">
        <v>0</v>
      </c>
      <c r="GU487" t="s">
        <v>3</v>
      </c>
      <c r="GV487">
        <f>ROUND((GT487),6)</f>
        <v>0</v>
      </c>
      <c r="GW487">
        <v>1</v>
      </c>
      <c r="GX487">
        <f>ROUND(HC487*I487,2)</f>
        <v>0</v>
      </c>
      <c r="HA487">
        <v>0</v>
      </c>
      <c r="HB487">
        <v>0</v>
      </c>
      <c r="HC487">
        <f>GV487*GW487</f>
        <v>0</v>
      </c>
      <c r="HE487" t="s">
        <v>3</v>
      </c>
      <c r="HF487" t="s">
        <v>3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17</v>
      </c>
      <c r="B488">
        <v>1</v>
      </c>
      <c r="D488">
        <f>ROW(EtalonRes!A355)</f>
        <v>355</v>
      </c>
      <c r="E488" t="s">
        <v>3</v>
      </c>
      <c r="F488" t="s">
        <v>461</v>
      </c>
      <c r="G488" t="s">
        <v>485</v>
      </c>
      <c r="H488" t="s">
        <v>31</v>
      </c>
      <c r="I488">
        <f>ROUND(17+2,9)</f>
        <v>19</v>
      </c>
      <c r="J488">
        <v>0</v>
      </c>
      <c r="K488">
        <f>ROUND(17+2,9)</f>
        <v>19</v>
      </c>
      <c r="O488">
        <f>ROUND(CP488,2)</f>
        <v>11377.39</v>
      </c>
      <c r="P488">
        <f>ROUND(CQ488*I488,2)</f>
        <v>114.38</v>
      </c>
      <c r="Q488">
        <f>ROUND(CR488*I488,2)</f>
        <v>0</v>
      </c>
      <c r="R488">
        <f>ROUND(CS488*I488,2)</f>
        <v>0</v>
      </c>
      <c r="S488">
        <f>ROUND(CT488*I488,2)</f>
        <v>11263.01</v>
      </c>
      <c r="T488">
        <f>ROUND(CU488*I488,2)</f>
        <v>0</v>
      </c>
      <c r="U488">
        <f>CV488*I488</f>
        <v>18.239999999999998</v>
      </c>
      <c r="V488">
        <f>CW488*I488</f>
        <v>0</v>
      </c>
      <c r="W488">
        <f>ROUND(CX488*I488,2)</f>
        <v>0</v>
      </c>
      <c r="X488">
        <f t="shared" si="461"/>
        <v>7884.11</v>
      </c>
      <c r="Y488">
        <f t="shared" si="461"/>
        <v>1126.3</v>
      </c>
      <c r="AA488">
        <v>-1</v>
      </c>
      <c r="AB488">
        <f>ROUND((AC488+AD488+AF488),6)</f>
        <v>598.80999999999995</v>
      </c>
      <c r="AC488">
        <f>ROUND((ES488),6)</f>
        <v>6.02</v>
      </c>
      <c r="AD488">
        <f>ROUND((((ET488)-(EU488))+AE488),6)</f>
        <v>0</v>
      </c>
      <c r="AE488">
        <f>ROUND((EU488),6)</f>
        <v>0</v>
      </c>
      <c r="AF488">
        <f>ROUND((EV488),6)</f>
        <v>592.79</v>
      </c>
      <c r="AG488">
        <f>ROUND((AP488),6)</f>
        <v>0</v>
      </c>
      <c r="AH488">
        <f>(EW488)</f>
        <v>0.96</v>
      </c>
      <c r="AI488">
        <f>(EX488)</f>
        <v>0</v>
      </c>
      <c r="AJ488">
        <f>(AS488)</f>
        <v>0</v>
      </c>
      <c r="AK488">
        <v>598.80999999999995</v>
      </c>
      <c r="AL488">
        <v>6.02</v>
      </c>
      <c r="AM488">
        <v>0</v>
      </c>
      <c r="AN488">
        <v>0</v>
      </c>
      <c r="AO488">
        <v>592.79</v>
      </c>
      <c r="AP488">
        <v>0</v>
      </c>
      <c r="AQ488">
        <v>0.96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463</v>
      </c>
      <c r="BM488">
        <v>0</v>
      </c>
      <c r="BN488">
        <v>0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>(P488+Q488+S488)</f>
        <v>11377.39</v>
      </c>
      <c r="CQ488">
        <f>(AC488*BC488*AW488)</f>
        <v>6.02</v>
      </c>
      <c r="CR488">
        <f>((((ET488)*BB488-(EU488)*BS488)+AE488*BS488)*AV488)</f>
        <v>0</v>
      </c>
      <c r="CS488">
        <f>(AE488*BS488*AV488)</f>
        <v>0</v>
      </c>
      <c r="CT488">
        <f>(AF488*BA488*AV488)</f>
        <v>592.79</v>
      </c>
      <c r="CU488">
        <f>AG488</f>
        <v>0</v>
      </c>
      <c r="CV488">
        <f>(AH488*AV488)</f>
        <v>0.96</v>
      </c>
      <c r="CW488">
        <f t="shared" si="462"/>
        <v>0</v>
      </c>
      <c r="CX488">
        <f t="shared" si="462"/>
        <v>0</v>
      </c>
      <c r="CY488">
        <f>((S488*BZ488)/100)</f>
        <v>7884.1070000000009</v>
      </c>
      <c r="CZ488">
        <f>((S488*CA488)/100)</f>
        <v>1126.3010000000002</v>
      </c>
      <c r="DC488" t="s">
        <v>3</v>
      </c>
      <c r="DD488" t="s">
        <v>3</v>
      </c>
      <c r="DE488" t="s">
        <v>3</v>
      </c>
      <c r="DF488" t="s">
        <v>3</v>
      </c>
      <c r="DG488" t="s">
        <v>3</v>
      </c>
      <c r="DH488" t="s">
        <v>3</v>
      </c>
      <c r="DI488" t="s">
        <v>3</v>
      </c>
      <c r="DJ488" t="s">
        <v>3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16987630</v>
      </c>
      <c r="DV488" t="s">
        <v>31</v>
      </c>
      <c r="DW488" t="s">
        <v>31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1441815344</v>
      </c>
      <c r="EF488">
        <v>1</v>
      </c>
      <c r="EG488" t="s">
        <v>19</v>
      </c>
      <c r="EH488">
        <v>0</v>
      </c>
      <c r="EI488" t="s">
        <v>3</v>
      </c>
      <c r="EJ488">
        <v>4</v>
      </c>
      <c r="EK488">
        <v>0</v>
      </c>
      <c r="EL488" t="s">
        <v>20</v>
      </c>
      <c r="EM488" t="s">
        <v>21</v>
      </c>
      <c r="EO488" t="s">
        <v>3</v>
      </c>
      <c r="EQ488">
        <v>1311744</v>
      </c>
      <c r="ER488">
        <v>598.80999999999995</v>
      </c>
      <c r="ES488">
        <v>6.02</v>
      </c>
      <c r="ET488">
        <v>0</v>
      </c>
      <c r="EU488">
        <v>0</v>
      </c>
      <c r="EV488">
        <v>592.79</v>
      </c>
      <c r="EW488">
        <v>0.96</v>
      </c>
      <c r="EX488">
        <v>0</v>
      </c>
      <c r="EY488">
        <v>0</v>
      </c>
      <c r="FQ488">
        <v>0</v>
      </c>
      <c r="FR488">
        <f>ROUND(IF(BI488=3,GM488,0),2)</f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1863364635</v>
      </c>
      <c r="GG488">
        <v>2</v>
      </c>
      <c r="GH488">
        <v>1</v>
      </c>
      <c r="GI488">
        <v>-2</v>
      </c>
      <c r="GJ488">
        <v>0</v>
      </c>
      <c r="GK488">
        <f>ROUND(R488*(R12)/100,2)</f>
        <v>0</v>
      </c>
      <c r="GL488">
        <f>ROUND(IF(AND(BH488=3,BI488=3,FS488&lt;&gt;0),P488,0),2)</f>
        <v>0</v>
      </c>
      <c r="GM488">
        <f>ROUND(O488+X488+Y488+GK488,2)+GX488</f>
        <v>20387.8</v>
      </c>
      <c r="GN488">
        <f>IF(OR(BI488=0,BI488=1),GM488-GX488,0)</f>
        <v>0</v>
      </c>
      <c r="GO488">
        <f>IF(BI488=2,GM488-GX488,0)</f>
        <v>0</v>
      </c>
      <c r="GP488">
        <f>IF(BI488=4,GM488-GX488,0)</f>
        <v>20387.8</v>
      </c>
      <c r="GR488">
        <v>0</v>
      </c>
      <c r="GS488">
        <v>3</v>
      </c>
      <c r="GT488">
        <v>0</v>
      </c>
      <c r="GU488" t="s">
        <v>3</v>
      </c>
      <c r="GV488">
        <f>ROUND((GT488),6)</f>
        <v>0</v>
      </c>
      <c r="GW488">
        <v>1</v>
      </c>
      <c r="GX488">
        <f>ROUND(HC488*I488,2)</f>
        <v>0</v>
      </c>
      <c r="HA488">
        <v>0</v>
      </c>
      <c r="HB488">
        <v>0</v>
      </c>
      <c r="HC488">
        <f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90" spans="1:245" x14ac:dyDescent="0.2">
      <c r="A490" s="2">
        <v>51</v>
      </c>
      <c r="B490" s="2">
        <f>B481</f>
        <v>1</v>
      </c>
      <c r="C490" s="2">
        <f>A481</f>
        <v>5</v>
      </c>
      <c r="D490" s="2">
        <f>ROW(A481)</f>
        <v>481</v>
      </c>
      <c r="E490" s="2"/>
      <c r="F490" s="2" t="str">
        <f>IF(F481&lt;&gt;"",F481,"")</f>
        <v>Новый подраздел</v>
      </c>
      <c r="G490" s="2" t="str">
        <f>IF(G481&lt;&gt;"",G481,"")</f>
        <v>4.5  Электроустановочные изделия</v>
      </c>
      <c r="H490" s="2">
        <v>0</v>
      </c>
      <c r="I490" s="2"/>
      <c r="J490" s="2"/>
      <c r="K490" s="2"/>
      <c r="L490" s="2"/>
      <c r="M490" s="2"/>
      <c r="N490" s="2"/>
      <c r="O490" s="2">
        <f t="shared" ref="O490:T490" si="463">ROUND(AB490,2)</f>
        <v>469.8</v>
      </c>
      <c r="P490" s="2">
        <f t="shared" si="463"/>
        <v>25.2</v>
      </c>
      <c r="Q490" s="2">
        <f t="shared" si="463"/>
        <v>0</v>
      </c>
      <c r="R490" s="2">
        <f t="shared" si="463"/>
        <v>0</v>
      </c>
      <c r="S490" s="2">
        <f t="shared" si="463"/>
        <v>444.6</v>
      </c>
      <c r="T490" s="2">
        <f t="shared" si="463"/>
        <v>0</v>
      </c>
      <c r="U490" s="2">
        <f>AH490</f>
        <v>0.72</v>
      </c>
      <c r="V490" s="2">
        <f>AI490</f>
        <v>0</v>
      </c>
      <c r="W490" s="2">
        <f>ROUND(AJ490,2)</f>
        <v>0</v>
      </c>
      <c r="X490" s="2">
        <f>ROUND(AK490,2)</f>
        <v>311.22000000000003</v>
      </c>
      <c r="Y490" s="2">
        <f>ROUND(AL490,2)</f>
        <v>44.46</v>
      </c>
      <c r="Z490" s="2"/>
      <c r="AA490" s="2"/>
      <c r="AB490" s="2">
        <f>ROUND(SUMIF(AA485:AA488,"=1471988752",O485:O488),2)</f>
        <v>469.8</v>
      </c>
      <c r="AC490" s="2">
        <f>ROUND(SUMIF(AA485:AA488,"=1471988752",P485:P488),2)</f>
        <v>25.2</v>
      </c>
      <c r="AD490" s="2">
        <f>ROUND(SUMIF(AA485:AA488,"=1471988752",Q485:Q488),2)</f>
        <v>0</v>
      </c>
      <c r="AE490" s="2">
        <f>ROUND(SUMIF(AA485:AA488,"=1471988752",R485:R488),2)</f>
        <v>0</v>
      </c>
      <c r="AF490" s="2">
        <f>ROUND(SUMIF(AA485:AA488,"=1471988752",S485:S488),2)</f>
        <v>444.6</v>
      </c>
      <c r="AG490" s="2">
        <f>ROUND(SUMIF(AA485:AA488,"=1471988752",T485:T488),2)</f>
        <v>0</v>
      </c>
      <c r="AH490" s="2">
        <f>SUMIF(AA485:AA488,"=1471988752",U485:U488)</f>
        <v>0.72</v>
      </c>
      <c r="AI490" s="2">
        <f>SUMIF(AA485:AA488,"=1471988752",V485:V488)</f>
        <v>0</v>
      </c>
      <c r="AJ490" s="2">
        <f>ROUND(SUMIF(AA485:AA488,"=1471988752",W485:W488),2)</f>
        <v>0</v>
      </c>
      <c r="AK490" s="2">
        <f>ROUND(SUMIF(AA485:AA488,"=1471988752",X485:X488),2)</f>
        <v>311.22000000000003</v>
      </c>
      <c r="AL490" s="2">
        <f>ROUND(SUMIF(AA485:AA488,"=1471988752",Y485:Y488),2)</f>
        <v>44.46</v>
      </c>
      <c r="AM490" s="2"/>
      <c r="AN490" s="2"/>
      <c r="AO490" s="2">
        <f t="shared" ref="AO490:BD490" si="464">ROUND(BX490,2)</f>
        <v>0</v>
      </c>
      <c r="AP490" s="2">
        <f t="shared" si="464"/>
        <v>0</v>
      </c>
      <c r="AQ490" s="2">
        <f t="shared" si="464"/>
        <v>0</v>
      </c>
      <c r="AR490" s="2">
        <f t="shared" si="464"/>
        <v>825.48</v>
      </c>
      <c r="AS490" s="2">
        <f t="shared" si="464"/>
        <v>0</v>
      </c>
      <c r="AT490" s="2">
        <f t="shared" si="464"/>
        <v>0</v>
      </c>
      <c r="AU490" s="2">
        <f t="shared" si="464"/>
        <v>825.48</v>
      </c>
      <c r="AV490" s="2">
        <f t="shared" si="464"/>
        <v>25.2</v>
      </c>
      <c r="AW490" s="2">
        <f t="shared" si="464"/>
        <v>25.2</v>
      </c>
      <c r="AX490" s="2">
        <f t="shared" si="464"/>
        <v>0</v>
      </c>
      <c r="AY490" s="2">
        <f t="shared" si="464"/>
        <v>25.2</v>
      </c>
      <c r="AZ490" s="2">
        <f t="shared" si="464"/>
        <v>0</v>
      </c>
      <c r="BA490" s="2">
        <f t="shared" si="464"/>
        <v>0</v>
      </c>
      <c r="BB490" s="2">
        <f t="shared" si="464"/>
        <v>0</v>
      </c>
      <c r="BC490" s="2">
        <f t="shared" si="464"/>
        <v>0</v>
      </c>
      <c r="BD490" s="2">
        <f t="shared" si="464"/>
        <v>0</v>
      </c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>
        <f>ROUND(SUMIF(AA485:AA488,"=1471988752",FQ485:FQ488),2)</f>
        <v>0</v>
      </c>
      <c r="BY490" s="2">
        <f>ROUND(SUMIF(AA485:AA488,"=1471988752",FR485:FR488),2)</f>
        <v>0</v>
      </c>
      <c r="BZ490" s="2">
        <f>ROUND(SUMIF(AA485:AA488,"=1471988752",GL485:GL488),2)</f>
        <v>0</v>
      </c>
      <c r="CA490" s="2">
        <f>ROUND(SUMIF(AA485:AA488,"=1471988752",GM485:GM488),2)</f>
        <v>825.48</v>
      </c>
      <c r="CB490" s="2">
        <f>ROUND(SUMIF(AA485:AA488,"=1471988752",GN485:GN488),2)</f>
        <v>0</v>
      </c>
      <c r="CC490" s="2">
        <f>ROUND(SUMIF(AA485:AA488,"=1471988752",GO485:GO488),2)</f>
        <v>0</v>
      </c>
      <c r="CD490" s="2">
        <f>ROUND(SUMIF(AA485:AA488,"=1471988752",GP485:GP488),2)</f>
        <v>825.48</v>
      </c>
      <c r="CE490" s="2">
        <f>AC490-BX490</f>
        <v>25.2</v>
      </c>
      <c r="CF490" s="2">
        <f>AC490-BY490</f>
        <v>25.2</v>
      </c>
      <c r="CG490" s="2">
        <f>BX490-BZ490</f>
        <v>0</v>
      </c>
      <c r="CH490" s="2">
        <f>AC490-BX490-BY490+BZ490</f>
        <v>25.2</v>
      </c>
      <c r="CI490" s="2">
        <f>BY490-BZ490</f>
        <v>0</v>
      </c>
      <c r="CJ490" s="2">
        <f>ROUND(SUMIF(AA485:AA488,"=1471988752",GX485:GX488),2)</f>
        <v>0</v>
      </c>
      <c r="CK490" s="2">
        <f>ROUND(SUMIF(AA485:AA488,"=1471988752",GY485:GY488),2)</f>
        <v>0</v>
      </c>
      <c r="CL490" s="2">
        <f>ROUND(SUMIF(AA485:AA488,"=1471988752",GZ485:GZ488),2)</f>
        <v>0</v>
      </c>
      <c r="CM490" s="2">
        <f>ROUND(SUMIF(AA485:AA488,"=1471988752",HD485:HD488),2)</f>
        <v>0</v>
      </c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3"/>
      <c r="DH490" s="3"/>
      <c r="DI490" s="3"/>
      <c r="DJ490" s="3"/>
      <c r="DK490" s="3"/>
      <c r="DL490" s="3"/>
      <c r="DM490" s="3"/>
      <c r="DN490" s="3"/>
      <c r="DO490" s="3"/>
      <c r="DP490" s="3"/>
      <c r="DQ490" s="3"/>
      <c r="DR490" s="3"/>
      <c r="DS490" s="3"/>
      <c r="DT490" s="3"/>
      <c r="DU490" s="3"/>
      <c r="DV490" s="3"/>
      <c r="DW490" s="3"/>
      <c r="DX490" s="3"/>
      <c r="DY490" s="3"/>
      <c r="DZ490" s="3"/>
      <c r="EA490" s="3"/>
      <c r="EB490" s="3"/>
      <c r="EC490" s="3"/>
      <c r="ED490" s="3"/>
      <c r="EE490" s="3"/>
      <c r="EF490" s="3"/>
      <c r="EG490" s="3"/>
      <c r="EH490" s="3"/>
      <c r="EI490" s="3"/>
      <c r="EJ490" s="3"/>
      <c r="EK490" s="3"/>
      <c r="EL490" s="3"/>
      <c r="EM490" s="3"/>
      <c r="EN490" s="3"/>
      <c r="EO490" s="3"/>
      <c r="EP490" s="3"/>
      <c r="EQ490" s="3"/>
      <c r="ER490" s="3"/>
      <c r="ES490" s="3"/>
      <c r="ET490" s="3"/>
      <c r="EU490" s="3"/>
      <c r="EV490" s="3"/>
      <c r="EW490" s="3"/>
      <c r="EX490" s="3"/>
      <c r="EY490" s="3"/>
      <c r="EZ490" s="3"/>
      <c r="FA490" s="3"/>
      <c r="FB490" s="3"/>
      <c r="FC490" s="3"/>
      <c r="FD490" s="3"/>
      <c r="FE490" s="3"/>
      <c r="FF490" s="3"/>
      <c r="FG490" s="3"/>
      <c r="FH490" s="3"/>
      <c r="FI490" s="3"/>
      <c r="FJ490" s="3"/>
      <c r="FK490" s="3"/>
      <c r="FL490" s="3"/>
      <c r="FM490" s="3"/>
      <c r="FN490" s="3"/>
      <c r="FO490" s="3"/>
      <c r="FP490" s="3"/>
      <c r="FQ490" s="3"/>
      <c r="FR490" s="3"/>
      <c r="FS490" s="3"/>
      <c r="FT490" s="3"/>
      <c r="FU490" s="3"/>
      <c r="FV490" s="3"/>
      <c r="FW490" s="3"/>
      <c r="FX490" s="3"/>
      <c r="FY490" s="3"/>
      <c r="FZ490" s="3"/>
      <c r="GA490" s="3"/>
      <c r="GB490" s="3"/>
      <c r="GC490" s="3"/>
      <c r="GD490" s="3"/>
      <c r="GE490" s="3"/>
      <c r="GF490" s="3"/>
      <c r="GG490" s="3"/>
      <c r="GH490" s="3"/>
      <c r="GI490" s="3"/>
      <c r="GJ490" s="3"/>
      <c r="GK490" s="3"/>
      <c r="GL490" s="3"/>
      <c r="GM490" s="3"/>
      <c r="GN490" s="3"/>
      <c r="GO490" s="3"/>
      <c r="GP490" s="3"/>
      <c r="GQ490" s="3"/>
      <c r="GR490" s="3"/>
      <c r="GS490" s="3"/>
      <c r="GT490" s="3"/>
      <c r="GU490" s="3"/>
      <c r="GV490" s="3"/>
      <c r="GW490" s="3"/>
      <c r="GX490" s="3">
        <v>0</v>
      </c>
    </row>
    <row r="492" spans="1:245" x14ac:dyDescent="0.2">
      <c r="A492" s="4">
        <v>50</v>
      </c>
      <c r="B492" s="4">
        <v>0</v>
      </c>
      <c r="C492" s="4">
        <v>0</v>
      </c>
      <c r="D492" s="4">
        <v>1</v>
      </c>
      <c r="E492" s="4">
        <v>201</v>
      </c>
      <c r="F492" s="4">
        <f>ROUND(Source!O490,O492)</f>
        <v>469.8</v>
      </c>
      <c r="G492" s="4" t="s">
        <v>45</v>
      </c>
      <c r="H492" s="4" t="s">
        <v>46</v>
      </c>
      <c r="I492" s="4"/>
      <c r="J492" s="4"/>
      <c r="K492" s="4">
        <v>201</v>
      </c>
      <c r="L492" s="4">
        <v>1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469.8</v>
      </c>
      <c r="X492" s="4">
        <v>1</v>
      </c>
      <c r="Y492" s="4">
        <v>469.8</v>
      </c>
      <c r="Z492" s="4"/>
      <c r="AA492" s="4"/>
      <c r="AB492" s="4"/>
    </row>
    <row r="493" spans="1:245" x14ac:dyDescent="0.2">
      <c r="A493" s="4">
        <v>50</v>
      </c>
      <c r="B493" s="4">
        <v>0</v>
      </c>
      <c r="C493" s="4">
        <v>0</v>
      </c>
      <c r="D493" s="4">
        <v>1</v>
      </c>
      <c r="E493" s="4">
        <v>202</v>
      </c>
      <c r="F493" s="4">
        <f>ROUND(Source!P490,O493)</f>
        <v>25.2</v>
      </c>
      <c r="G493" s="4" t="s">
        <v>47</v>
      </c>
      <c r="H493" s="4" t="s">
        <v>48</v>
      </c>
      <c r="I493" s="4"/>
      <c r="J493" s="4"/>
      <c r="K493" s="4">
        <v>202</v>
      </c>
      <c r="L493" s="4">
        <v>2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25.2</v>
      </c>
      <c r="X493" s="4">
        <v>1</v>
      </c>
      <c r="Y493" s="4">
        <v>25.2</v>
      </c>
      <c r="Z493" s="4"/>
      <c r="AA493" s="4"/>
      <c r="AB493" s="4"/>
    </row>
    <row r="494" spans="1:245" x14ac:dyDescent="0.2">
      <c r="A494" s="4">
        <v>50</v>
      </c>
      <c r="B494" s="4">
        <v>0</v>
      </c>
      <c r="C494" s="4">
        <v>0</v>
      </c>
      <c r="D494" s="4">
        <v>1</v>
      </c>
      <c r="E494" s="4">
        <v>222</v>
      </c>
      <c r="F494" s="4">
        <f>ROUND(Source!AO490,O494)</f>
        <v>0</v>
      </c>
      <c r="G494" s="4" t="s">
        <v>49</v>
      </c>
      <c r="H494" s="4" t="s">
        <v>50</v>
      </c>
      <c r="I494" s="4"/>
      <c r="J494" s="4"/>
      <c r="K494" s="4">
        <v>222</v>
      </c>
      <c r="L494" s="4">
        <v>3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45" x14ac:dyDescent="0.2">
      <c r="A495" s="4">
        <v>50</v>
      </c>
      <c r="B495" s="4">
        <v>0</v>
      </c>
      <c r="C495" s="4">
        <v>0</v>
      </c>
      <c r="D495" s="4">
        <v>1</v>
      </c>
      <c r="E495" s="4">
        <v>225</v>
      </c>
      <c r="F495" s="4">
        <f>ROUND(Source!AV490,O495)</f>
        <v>25.2</v>
      </c>
      <c r="G495" s="4" t="s">
        <v>51</v>
      </c>
      <c r="H495" s="4" t="s">
        <v>52</v>
      </c>
      <c r="I495" s="4"/>
      <c r="J495" s="4"/>
      <c r="K495" s="4">
        <v>225</v>
      </c>
      <c r="L495" s="4">
        <v>4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25.2</v>
      </c>
      <c r="X495" s="4">
        <v>1</v>
      </c>
      <c r="Y495" s="4">
        <v>25.2</v>
      </c>
      <c r="Z495" s="4"/>
      <c r="AA495" s="4"/>
      <c r="AB495" s="4"/>
    </row>
    <row r="496" spans="1:245" x14ac:dyDescent="0.2">
      <c r="A496" s="4">
        <v>50</v>
      </c>
      <c r="B496" s="4">
        <v>0</v>
      </c>
      <c r="C496" s="4">
        <v>0</v>
      </c>
      <c r="D496" s="4">
        <v>1</v>
      </c>
      <c r="E496" s="4">
        <v>226</v>
      </c>
      <c r="F496" s="4">
        <f>ROUND(Source!AW490,O496)</f>
        <v>25.2</v>
      </c>
      <c r="G496" s="4" t="s">
        <v>53</v>
      </c>
      <c r="H496" s="4" t="s">
        <v>54</v>
      </c>
      <c r="I496" s="4"/>
      <c r="J496" s="4"/>
      <c r="K496" s="4">
        <v>226</v>
      </c>
      <c r="L496" s="4">
        <v>5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25.2</v>
      </c>
      <c r="X496" s="4">
        <v>1</v>
      </c>
      <c r="Y496" s="4">
        <v>25.2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227</v>
      </c>
      <c r="F497" s="4">
        <f>ROUND(Source!AX490,O497)</f>
        <v>0</v>
      </c>
      <c r="G497" s="4" t="s">
        <v>55</v>
      </c>
      <c r="H497" s="4" t="s">
        <v>56</v>
      </c>
      <c r="I497" s="4"/>
      <c r="J497" s="4"/>
      <c r="K497" s="4">
        <v>227</v>
      </c>
      <c r="L497" s="4">
        <v>6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228</v>
      </c>
      <c r="F498" s="4">
        <f>ROUND(Source!AY490,O498)</f>
        <v>25.2</v>
      </c>
      <c r="G498" s="4" t="s">
        <v>57</v>
      </c>
      <c r="H498" s="4" t="s">
        <v>58</v>
      </c>
      <c r="I498" s="4"/>
      <c r="J498" s="4"/>
      <c r="K498" s="4">
        <v>228</v>
      </c>
      <c r="L498" s="4">
        <v>7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25.2</v>
      </c>
      <c r="X498" s="4">
        <v>1</v>
      </c>
      <c r="Y498" s="4">
        <v>25.2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216</v>
      </c>
      <c r="F499" s="4">
        <f>ROUND(Source!AP490,O499)</f>
        <v>0</v>
      </c>
      <c r="G499" s="4" t="s">
        <v>59</v>
      </c>
      <c r="H499" s="4" t="s">
        <v>60</v>
      </c>
      <c r="I499" s="4"/>
      <c r="J499" s="4"/>
      <c r="K499" s="4">
        <v>216</v>
      </c>
      <c r="L499" s="4">
        <v>8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0</v>
      </c>
      <c r="X499" s="4">
        <v>1</v>
      </c>
      <c r="Y499" s="4">
        <v>0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223</v>
      </c>
      <c r="F500" s="4">
        <f>ROUND(Source!AQ490,O500)</f>
        <v>0</v>
      </c>
      <c r="G500" s="4" t="s">
        <v>61</v>
      </c>
      <c r="H500" s="4" t="s">
        <v>62</v>
      </c>
      <c r="I500" s="4"/>
      <c r="J500" s="4"/>
      <c r="K500" s="4">
        <v>223</v>
      </c>
      <c r="L500" s="4">
        <v>9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229</v>
      </c>
      <c r="F501" s="4">
        <f>ROUND(Source!AZ490,O501)</f>
        <v>0</v>
      </c>
      <c r="G501" s="4" t="s">
        <v>63</v>
      </c>
      <c r="H501" s="4" t="s">
        <v>64</v>
      </c>
      <c r="I501" s="4"/>
      <c r="J501" s="4"/>
      <c r="K501" s="4">
        <v>229</v>
      </c>
      <c r="L501" s="4">
        <v>10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203</v>
      </c>
      <c r="F502" s="4">
        <f>ROUND(Source!Q490,O502)</f>
        <v>0</v>
      </c>
      <c r="G502" s="4" t="s">
        <v>65</v>
      </c>
      <c r="H502" s="4" t="s">
        <v>66</v>
      </c>
      <c r="I502" s="4"/>
      <c r="J502" s="4"/>
      <c r="K502" s="4">
        <v>203</v>
      </c>
      <c r="L502" s="4">
        <v>11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231</v>
      </c>
      <c r="F503" s="4">
        <f>ROUND(Source!BB490,O503)</f>
        <v>0</v>
      </c>
      <c r="G503" s="4" t="s">
        <v>67</v>
      </c>
      <c r="H503" s="4" t="s">
        <v>68</v>
      </c>
      <c r="I503" s="4"/>
      <c r="J503" s="4"/>
      <c r="K503" s="4">
        <v>231</v>
      </c>
      <c r="L503" s="4">
        <v>12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204</v>
      </c>
      <c r="F504" s="4">
        <f>ROUND(Source!R490,O504)</f>
        <v>0</v>
      </c>
      <c r="G504" s="4" t="s">
        <v>69</v>
      </c>
      <c r="H504" s="4" t="s">
        <v>70</v>
      </c>
      <c r="I504" s="4"/>
      <c r="J504" s="4"/>
      <c r="K504" s="4">
        <v>204</v>
      </c>
      <c r="L504" s="4">
        <v>13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205</v>
      </c>
      <c r="F505" s="4">
        <f>ROUND(Source!S490,O505)</f>
        <v>444.6</v>
      </c>
      <c r="G505" s="4" t="s">
        <v>71</v>
      </c>
      <c r="H505" s="4" t="s">
        <v>72</v>
      </c>
      <c r="I505" s="4"/>
      <c r="J505" s="4"/>
      <c r="K505" s="4">
        <v>205</v>
      </c>
      <c r="L505" s="4">
        <v>14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444.6</v>
      </c>
      <c r="X505" s="4">
        <v>1</v>
      </c>
      <c r="Y505" s="4">
        <v>444.6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232</v>
      </c>
      <c r="F506" s="4">
        <f>ROUND(Source!BC490,O506)</f>
        <v>0</v>
      </c>
      <c r="G506" s="4" t="s">
        <v>73</v>
      </c>
      <c r="H506" s="4" t="s">
        <v>74</v>
      </c>
      <c r="I506" s="4"/>
      <c r="J506" s="4"/>
      <c r="K506" s="4">
        <v>232</v>
      </c>
      <c r="L506" s="4">
        <v>15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214</v>
      </c>
      <c r="F507" s="4">
        <f>ROUND(Source!AS490,O507)</f>
        <v>0</v>
      </c>
      <c r="G507" s="4" t="s">
        <v>75</v>
      </c>
      <c r="H507" s="4" t="s">
        <v>76</v>
      </c>
      <c r="I507" s="4"/>
      <c r="J507" s="4"/>
      <c r="K507" s="4">
        <v>214</v>
      </c>
      <c r="L507" s="4">
        <v>16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215</v>
      </c>
      <c r="F508" s="4">
        <f>ROUND(Source!AT490,O508)</f>
        <v>0</v>
      </c>
      <c r="G508" s="4" t="s">
        <v>77</v>
      </c>
      <c r="H508" s="4" t="s">
        <v>78</v>
      </c>
      <c r="I508" s="4"/>
      <c r="J508" s="4"/>
      <c r="K508" s="4">
        <v>215</v>
      </c>
      <c r="L508" s="4">
        <v>17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217</v>
      </c>
      <c r="F509" s="4">
        <f>ROUND(Source!AU490,O509)</f>
        <v>825.48</v>
      </c>
      <c r="G509" s="4" t="s">
        <v>79</v>
      </c>
      <c r="H509" s="4" t="s">
        <v>80</v>
      </c>
      <c r="I509" s="4"/>
      <c r="J509" s="4"/>
      <c r="K509" s="4">
        <v>217</v>
      </c>
      <c r="L509" s="4">
        <v>18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825.48</v>
      </c>
      <c r="X509" s="4">
        <v>1</v>
      </c>
      <c r="Y509" s="4">
        <v>825.48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230</v>
      </c>
      <c r="F510" s="4">
        <f>ROUND(Source!BA490,O510)</f>
        <v>0</v>
      </c>
      <c r="G510" s="4" t="s">
        <v>81</v>
      </c>
      <c r="H510" s="4" t="s">
        <v>82</v>
      </c>
      <c r="I510" s="4"/>
      <c r="J510" s="4"/>
      <c r="K510" s="4">
        <v>230</v>
      </c>
      <c r="L510" s="4">
        <v>19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206</v>
      </c>
      <c r="F511" s="4">
        <f>ROUND(Source!T490,O511)</f>
        <v>0</v>
      </c>
      <c r="G511" s="4" t="s">
        <v>83</v>
      </c>
      <c r="H511" s="4" t="s">
        <v>84</v>
      </c>
      <c r="I511" s="4"/>
      <c r="J511" s="4"/>
      <c r="K511" s="4">
        <v>206</v>
      </c>
      <c r="L511" s="4">
        <v>20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207</v>
      </c>
      <c r="F512" s="4">
        <f>Source!U490</f>
        <v>0.72</v>
      </c>
      <c r="G512" s="4" t="s">
        <v>85</v>
      </c>
      <c r="H512" s="4" t="s">
        <v>86</v>
      </c>
      <c r="I512" s="4"/>
      <c r="J512" s="4"/>
      <c r="K512" s="4">
        <v>207</v>
      </c>
      <c r="L512" s="4">
        <v>21</v>
      </c>
      <c r="M512" s="4">
        <v>3</v>
      </c>
      <c r="N512" s="4" t="s">
        <v>3</v>
      </c>
      <c r="O512" s="4">
        <v>-1</v>
      </c>
      <c r="P512" s="4"/>
      <c r="Q512" s="4"/>
      <c r="R512" s="4"/>
      <c r="S512" s="4"/>
      <c r="T512" s="4"/>
      <c r="U512" s="4"/>
      <c r="V512" s="4"/>
      <c r="W512" s="4">
        <v>0.72</v>
      </c>
      <c r="X512" s="4">
        <v>1</v>
      </c>
      <c r="Y512" s="4">
        <v>0.72</v>
      </c>
      <c r="Z512" s="4"/>
      <c r="AA512" s="4"/>
      <c r="AB512" s="4"/>
    </row>
    <row r="513" spans="1:245" x14ac:dyDescent="0.2">
      <c r="A513" s="4">
        <v>50</v>
      </c>
      <c r="B513" s="4">
        <v>0</v>
      </c>
      <c r="C513" s="4">
        <v>0</v>
      </c>
      <c r="D513" s="4">
        <v>1</v>
      </c>
      <c r="E513" s="4">
        <v>208</v>
      </c>
      <c r="F513" s="4">
        <f>Source!V490</f>
        <v>0</v>
      </c>
      <c r="G513" s="4" t="s">
        <v>87</v>
      </c>
      <c r="H513" s="4" t="s">
        <v>88</v>
      </c>
      <c r="I513" s="4"/>
      <c r="J513" s="4"/>
      <c r="K513" s="4">
        <v>208</v>
      </c>
      <c r="L513" s="4">
        <v>22</v>
      </c>
      <c r="M513" s="4">
        <v>3</v>
      </c>
      <c r="N513" s="4" t="s">
        <v>3</v>
      </c>
      <c r="O513" s="4">
        <v>-1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45" x14ac:dyDescent="0.2">
      <c r="A514" s="4">
        <v>50</v>
      </c>
      <c r="B514" s="4">
        <v>0</v>
      </c>
      <c r="C514" s="4">
        <v>0</v>
      </c>
      <c r="D514" s="4">
        <v>1</v>
      </c>
      <c r="E514" s="4">
        <v>209</v>
      </c>
      <c r="F514" s="4">
        <f>ROUND(Source!W490,O514)</f>
        <v>0</v>
      </c>
      <c r="G514" s="4" t="s">
        <v>89</v>
      </c>
      <c r="H514" s="4" t="s">
        <v>90</v>
      </c>
      <c r="I514" s="4"/>
      <c r="J514" s="4"/>
      <c r="K514" s="4">
        <v>209</v>
      </c>
      <c r="L514" s="4">
        <v>23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45" x14ac:dyDescent="0.2">
      <c r="A515" s="4">
        <v>50</v>
      </c>
      <c r="B515" s="4">
        <v>0</v>
      </c>
      <c r="C515" s="4">
        <v>0</v>
      </c>
      <c r="D515" s="4">
        <v>1</v>
      </c>
      <c r="E515" s="4">
        <v>233</v>
      </c>
      <c r="F515" s="4">
        <f>ROUND(Source!BD490,O515)</f>
        <v>0</v>
      </c>
      <c r="G515" s="4" t="s">
        <v>91</v>
      </c>
      <c r="H515" s="4" t="s">
        <v>92</v>
      </c>
      <c r="I515" s="4"/>
      <c r="J515" s="4"/>
      <c r="K515" s="4">
        <v>233</v>
      </c>
      <c r="L515" s="4">
        <v>24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45" x14ac:dyDescent="0.2">
      <c r="A516" s="4">
        <v>50</v>
      </c>
      <c r="B516" s="4">
        <v>0</v>
      </c>
      <c r="C516" s="4">
        <v>0</v>
      </c>
      <c r="D516" s="4">
        <v>1</v>
      </c>
      <c r="E516" s="4">
        <v>210</v>
      </c>
      <c r="F516" s="4">
        <f>ROUND(Source!X490,O516)</f>
        <v>311.22000000000003</v>
      </c>
      <c r="G516" s="4" t="s">
        <v>93</v>
      </c>
      <c r="H516" s="4" t="s">
        <v>94</v>
      </c>
      <c r="I516" s="4"/>
      <c r="J516" s="4"/>
      <c r="K516" s="4">
        <v>210</v>
      </c>
      <c r="L516" s="4">
        <v>25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311.22000000000003</v>
      </c>
      <c r="X516" s="4">
        <v>1</v>
      </c>
      <c r="Y516" s="4">
        <v>311.22000000000003</v>
      </c>
      <c r="Z516" s="4"/>
      <c r="AA516" s="4"/>
      <c r="AB516" s="4"/>
    </row>
    <row r="517" spans="1:245" x14ac:dyDescent="0.2">
      <c r="A517" s="4">
        <v>50</v>
      </c>
      <c r="B517" s="4">
        <v>0</v>
      </c>
      <c r="C517" s="4">
        <v>0</v>
      </c>
      <c r="D517" s="4">
        <v>1</v>
      </c>
      <c r="E517" s="4">
        <v>211</v>
      </c>
      <c r="F517" s="4">
        <f>ROUND(Source!Y490,O517)</f>
        <v>44.46</v>
      </c>
      <c r="G517" s="4" t="s">
        <v>95</v>
      </c>
      <c r="H517" s="4" t="s">
        <v>96</v>
      </c>
      <c r="I517" s="4"/>
      <c r="J517" s="4"/>
      <c r="K517" s="4">
        <v>211</v>
      </c>
      <c r="L517" s="4">
        <v>26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44.46</v>
      </c>
      <c r="X517" s="4">
        <v>1</v>
      </c>
      <c r="Y517" s="4">
        <v>44.46</v>
      </c>
      <c r="Z517" s="4"/>
      <c r="AA517" s="4"/>
      <c r="AB517" s="4"/>
    </row>
    <row r="518" spans="1:245" x14ac:dyDescent="0.2">
      <c r="A518" s="4">
        <v>50</v>
      </c>
      <c r="B518" s="4">
        <v>0</v>
      </c>
      <c r="C518" s="4">
        <v>0</v>
      </c>
      <c r="D518" s="4">
        <v>1</v>
      </c>
      <c r="E518" s="4">
        <v>224</v>
      </c>
      <c r="F518" s="4">
        <f>ROUND(Source!AR490,O518)</f>
        <v>825.48</v>
      </c>
      <c r="G518" s="4" t="s">
        <v>97</v>
      </c>
      <c r="H518" s="4" t="s">
        <v>98</v>
      </c>
      <c r="I518" s="4"/>
      <c r="J518" s="4"/>
      <c r="K518" s="4">
        <v>224</v>
      </c>
      <c r="L518" s="4">
        <v>27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825.48</v>
      </c>
      <c r="X518" s="4">
        <v>1</v>
      </c>
      <c r="Y518" s="4">
        <v>825.48</v>
      </c>
      <c r="Z518" s="4"/>
      <c r="AA518" s="4"/>
      <c r="AB518" s="4"/>
    </row>
    <row r="520" spans="1:245" x14ac:dyDescent="0.2">
      <c r="A520" s="1">
        <v>5</v>
      </c>
      <c r="B520" s="1">
        <v>1</v>
      </c>
      <c r="C520" s="1"/>
      <c r="D520" s="1">
        <f>ROW(A534)</f>
        <v>534</v>
      </c>
      <c r="E520" s="1"/>
      <c r="F520" s="1" t="s">
        <v>100</v>
      </c>
      <c r="G520" s="1" t="s">
        <v>486</v>
      </c>
      <c r="H520" s="1" t="s">
        <v>3</v>
      </c>
      <c r="I520" s="1">
        <v>0</v>
      </c>
      <c r="J520" s="1"/>
      <c r="K520" s="1">
        <v>-1</v>
      </c>
      <c r="L520" s="1"/>
      <c r="M520" s="1" t="s">
        <v>3</v>
      </c>
      <c r="N520" s="1"/>
      <c r="O520" s="1"/>
      <c r="P520" s="1"/>
      <c r="Q520" s="1"/>
      <c r="R520" s="1"/>
      <c r="S520" s="1">
        <v>0</v>
      </c>
      <c r="T520" s="1"/>
      <c r="U520" s="1" t="s">
        <v>3</v>
      </c>
      <c r="V520" s="1">
        <v>0</v>
      </c>
      <c r="W520" s="1"/>
      <c r="X520" s="1"/>
      <c r="Y520" s="1"/>
      <c r="Z520" s="1"/>
      <c r="AA520" s="1"/>
      <c r="AB520" s="1" t="s">
        <v>3</v>
      </c>
      <c r="AC520" s="1" t="s">
        <v>3</v>
      </c>
      <c r="AD520" s="1" t="s">
        <v>3</v>
      </c>
      <c r="AE520" s="1" t="s">
        <v>3</v>
      </c>
      <c r="AF520" s="1" t="s">
        <v>3</v>
      </c>
      <c r="AG520" s="1" t="s">
        <v>3</v>
      </c>
      <c r="AH520" s="1"/>
      <c r="AI520" s="1"/>
      <c r="AJ520" s="1"/>
      <c r="AK520" s="1"/>
      <c r="AL520" s="1"/>
      <c r="AM520" s="1"/>
      <c r="AN520" s="1"/>
      <c r="AO520" s="1"/>
      <c r="AP520" s="1" t="s">
        <v>3</v>
      </c>
      <c r="AQ520" s="1" t="s">
        <v>3</v>
      </c>
      <c r="AR520" s="1" t="s">
        <v>3</v>
      </c>
      <c r="AS520" s="1"/>
      <c r="AT520" s="1"/>
      <c r="AU520" s="1"/>
      <c r="AV520" s="1"/>
      <c r="AW520" s="1"/>
      <c r="AX520" s="1"/>
      <c r="AY520" s="1"/>
      <c r="AZ520" s="1" t="s">
        <v>3</v>
      </c>
      <c r="BA520" s="1"/>
      <c r="BB520" s="1" t="s">
        <v>3</v>
      </c>
      <c r="BC520" s="1" t="s">
        <v>3</v>
      </c>
      <c r="BD520" s="1" t="s">
        <v>3</v>
      </c>
      <c r="BE520" s="1" t="s">
        <v>3</v>
      </c>
      <c r="BF520" s="1" t="s">
        <v>3</v>
      </c>
      <c r="BG520" s="1" t="s">
        <v>3</v>
      </c>
      <c r="BH520" s="1" t="s">
        <v>3</v>
      </c>
      <c r="BI520" s="1" t="s">
        <v>3</v>
      </c>
      <c r="BJ520" s="1" t="s">
        <v>3</v>
      </c>
      <c r="BK520" s="1" t="s">
        <v>3</v>
      </c>
      <c r="BL520" s="1" t="s">
        <v>3</v>
      </c>
      <c r="BM520" s="1" t="s">
        <v>3</v>
      </c>
      <c r="BN520" s="1" t="s">
        <v>3</v>
      </c>
      <c r="BO520" s="1" t="s">
        <v>3</v>
      </c>
      <c r="BP520" s="1" t="s">
        <v>3</v>
      </c>
      <c r="BQ520" s="1"/>
      <c r="BR520" s="1"/>
      <c r="BS520" s="1"/>
      <c r="BT520" s="1"/>
      <c r="BU520" s="1"/>
      <c r="BV520" s="1"/>
      <c r="BW520" s="1"/>
      <c r="BX520" s="1">
        <v>0</v>
      </c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>
        <v>0</v>
      </c>
    </row>
    <row r="522" spans="1:245" x14ac:dyDescent="0.2">
      <c r="A522" s="2">
        <v>52</v>
      </c>
      <c r="B522" s="2">
        <f t="shared" ref="B522:G522" si="465">B534</f>
        <v>1</v>
      </c>
      <c r="C522" s="2">
        <f t="shared" si="465"/>
        <v>5</v>
      </c>
      <c r="D522" s="2">
        <f t="shared" si="465"/>
        <v>520</v>
      </c>
      <c r="E522" s="2">
        <f t="shared" si="465"/>
        <v>0</v>
      </c>
      <c r="F522" s="2" t="str">
        <f t="shared" si="465"/>
        <v>Новый подраздел</v>
      </c>
      <c r="G522" s="2" t="str">
        <f t="shared" si="465"/>
        <v>4.6  Щитовое оборудование</v>
      </c>
      <c r="H522" s="2"/>
      <c r="I522" s="2"/>
      <c r="J522" s="2"/>
      <c r="K522" s="2"/>
      <c r="L522" s="2"/>
      <c r="M522" s="2"/>
      <c r="N522" s="2"/>
      <c r="O522" s="2">
        <f t="shared" ref="O522:AT522" si="466">O534</f>
        <v>327138.84999999998</v>
      </c>
      <c r="P522" s="2">
        <f t="shared" si="466"/>
        <v>4471.76</v>
      </c>
      <c r="Q522" s="2">
        <f t="shared" si="466"/>
        <v>0</v>
      </c>
      <c r="R522" s="2">
        <f t="shared" si="466"/>
        <v>0</v>
      </c>
      <c r="S522" s="2">
        <f t="shared" si="466"/>
        <v>322667.09000000003</v>
      </c>
      <c r="T522" s="2">
        <f t="shared" si="466"/>
        <v>0</v>
      </c>
      <c r="U522" s="2">
        <f t="shared" si="466"/>
        <v>522.6</v>
      </c>
      <c r="V522" s="2">
        <f t="shared" si="466"/>
        <v>0</v>
      </c>
      <c r="W522" s="2">
        <f t="shared" si="466"/>
        <v>0</v>
      </c>
      <c r="X522" s="2">
        <f t="shared" si="466"/>
        <v>225866.96</v>
      </c>
      <c r="Y522" s="2">
        <f t="shared" si="466"/>
        <v>32266.71</v>
      </c>
      <c r="Z522" s="2">
        <f t="shared" si="466"/>
        <v>0</v>
      </c>
      <c r="AA522" s="2">
        <f t="shared" si="466"/>
        <v>0</v>
      </c>
      <c r="AB522" s="2">
        <f t="shared" si="466"/>
        <v>327138.84999999998</v>
      </c>
      <c r="AC522" s="2">
        <f t="shared" si="466"/>
        <v>4471.76</v>
      </c>
      <c r="AD522" s="2">
        <f t="shared" si="466"/>
        <v>0</v>
      </c>
      <c r="AE522" s="2">
        <f t="shared" si="466"/>
        <v>0</v>
      </c>
      <c r="AF522" s="2">
        <f t="shared" si="466"/>
        <v>322667.09000000003</v>
      </c>
      <c r="AG522" s="2">
        <f t="shared" si="466"/>
        <v>0</v>
      </c>
      <c r="AH522" s="2">
        <f t="shared" si="466"/>
        <v>522.6</v>
      </c>
      <c r="AI522" s="2">
        <f t="shared" si="466"/>
        <v>0</v>
      </c>
      <c r="AJ522" s="2">
        <f t="shared" si="466"/>
        <v>0</v>
      </c>
      <c r="AK522" s="2">
        <f t="shared" si="466"/>
        <v>225866.96</v>
      </c>
      <c r="AL522" s="2">
        <f t="shared" si="466"/>
        <v>32266.71</v>
      </c>
      <c r="AM522" s="2">
        <f t="shared" si="466"/>
        <v>0</v>
      </c>
      <c r="AN522" s="2">
        <f t="shared" si="466"/>
        <v>0</v>
      </c>
      <c r="AO522" s="2">
        <f t="shared" si="466"/>
        <v>0</v>
      </c>
      <c r="AP522" s="2">
        <f t="shared" si="466"/>
        <v>0</v>
      </c>
      <c r="AQ522" s="2">
        <f t="shared" si="466"/>
        <v>0</v>
      </c>
      <c r="AR522" s="2">
        <f t="shared" si="466"/>
        <v>585272.52</v>
      </c>
      <c r="AS522" s="2">
        <f t="shared" si="466"/>
        <v>0</v>
      </c>
      <c r="AT522" s="2">
        <f t="shared" si="466"/>
        <v>0</v>
      </c>
      <c r="AU522" s="2">
        <f t="shared" ref="AU522:BZ522" si="467">AU534</f>
        <v>585272.52</v>
      </c>
      <c r="AV522" s="2">
        <f t="shared" si="467"/>
        <v>4471.76</v>
      </c>
      <c r="AW522" s="2">
        <f t="shared" si="467"/>
        <v>4471.76</v>
      </c>
      <c r="AX522" s="2">
        <f t="shared" si="467"/>
        <v>0</v>
      </c>
      <c r="AY522" s="2">
        <f t="shared" si="467"/>
        <v>4471.76</v>
      </c>
      <c r="AZ522" s="2">
        <f t="shared" si="467"/>
        <v>0</v>
      </c>
      <c r="BA522" s="2">
        <f t="shared" si="467"/>
        <v>0</v>
      </c>
      <c r="BB522" s="2">
        <f t="shared" si="467"/>
        <v>0</v>
      </c>
      <c r="BC522" s="2">
        <f t="shared" si="467"/>
        <v>0</v>
      </c>
      <c r="BD522" s="2">
        <f t="shared" si="467"/>
        <v>0</v>
      </c>
      <c r="BE522" s="2">
        <f t="shared" si="467"/>
        <v>0</v>
      </c>
      <c r="BF522" s="2">
        <f t="shared" si="467"/>
        <v>0</v>
      </c>
      <c r="BG522" s="2">
        <f t="shared" si="467"/>
        <v>0</v>
      </c>
      <c r="BH522" s="2">
        <f t="shared" si="467"/>
        <v>0</v>
      </c>
      <c r="BI522" s="2">
        <f t="shared" si="467"/>
        <v>0</v>
      </c>
      <c r="BJ522" s="2">
        <f t="shared" si="467"/>
        <v>0</v>
      </c>
      <c r="BK522" s="2">
        <f t="shared" si="467"/>
        <v>0</v>
      </c>
      <c r="BL522" s="2">
        <f t="shared" si="467"/>
        <v>0</v>
      </c>
      <c r="BM522" s="2">
        <f t="shared" si="467"/>
        <v>0</v>
      </c>
      <c r="BN522" s="2">
        <f t="shared" si="467"/>
        <v>0</v>
      </c>
      <c r="BO522" s="2">
        <f t="shared" si="467"/>
        <v>0</v>
      </c>
      <c r="BP522" s="2">
        <f t="shared" si="467"/>
        <v>0</v>
      </c>
      <c r="BQ522" s="2">
        <f t="shared" si="467"/>
        <v>0</v>
      </c>
      <c r="BR522" s="2">
        <f t="shared" si="467"/>
        <v>0</v>
      </c>
      <c r="BS522" s="2">
        <f t="shared" si="467"/>
        <v>0</v>
      </c>
      <c r="BT522" s="2">
        <f t="shared" si="467"/>
        <v>0</v>
      </c>
      <c r="BU522" s="2">
        <f t="shared" si="467"/>
        <v>0</v>
      </c>
      <c r="BV522" s="2">
        <f t="shared" si="467"/>
        <v>0</v>
      </c>
      <c r="BW522" s="2">
        <f t="shared" si="467"/>
        <v>0</v>
      </c>
      <c r="BX522" s="2">
        <f t="shared" si="467"/>
        <v>0</v>
      </c>
      <c r="BY522" s="2">
        <f t="shared" si="467"/>
        <v>0</v>
      </c>
      <c r="BZ522" s="2">
        <f t="shared" si="467"/>
        <v>0</v>
      </c>
      <c r="CA522" s="2">
        <f t="shared" ref="CA522:DF522" si="468">CA534</f>
        <v>585272.52</v>
      </c>
      <c r="CB522" s="2">
        <f t="shared" si="468"/>
        <v>0</v>
      </c>
      <c r="CC522" s="2">
        <f t="shared" si="468"/>
        <v>0</v>
      </c>
      <c r="CD522" s="2">
        <f t="shared" si="468"/>
        <v>585272.52</v>
      </c>
      <c r="CE522" s="2">
        <f t="shared" si="468"/>
        <v>4471.76</v>
      </c>
      <c r="CF522" s="2">
        <f t="shared" si="468"/>
        <v>4471.76</v>
      </c>
      <c r="CG522" s="2">
        <f t="shared" si="468"/>
        <v>0</v>
      </c>
      <c r="CH522" s="2">
        <f t="shared" si="468"/>
        <v>4471.76</v>
      </c>
      <c r="CI522" s="2">
        <f t="shared" si="468"/>
        <v>0</v>
      </c>
      <c r="CJ522" s="2">
        <f t="shared" si="468"/>
        <v>0</v>
      </c>
      <c r="CK522" s="2">
        <f t="shared" si="468"/>
        <v>0</v>
      </c>
      <c r="CL522" s="2">
        <f t="shared" si="468"/>
        <v>0</v>
      </c>
      <c r="CM522" s="2">
        <f t="shared" si="468"/>
        <v>0</v>
      </c>
      <c r="CN522" s="2">
        <f t="shared" si="468"/>
        <v>0</v>
      </c>
      <c r="CO522" s="2">
        <f t="shared" si="468"/>
        <v>0</v>
      </c>
      <c r="CP522" s="2">
        <f t="shared" si="468"/>
        <v>0</v>
      </c>
      <c r="CQ522" s="2">
        <f t="shared" si="468"/>
        <v>0</v>
      </c>
      <c r="CR522" s="2">
        <f t="shared" si="468"/>
        <v>0</v>
      </c>
      <c r="CS522" s="2">
        <f t="shared" si="468"/>
        <v>0</v>
      </c>
      <c r="CT522" s="2">
        <f t="shared" si="468"/>
        <v>0</v>
      </c>
      <c r="CU522" s="2">
        <f t="shared" si="468"/>
        <v>0</v>
      </c>
      <c r="CV522" s="2">
        <f t="shared" si="468"/>
        <v>0</v>
      </c>
      <c r="CW522" s="2">
        <f t="shared" si="468"/>
        <v>0</v>
      </c>
      <c r="CX522" s="2">
        <f t="shared" si="468"/>
        <v>0</v>
      </c>
      <c r="CY522" s="2">
        <f t="shared" si="468"/>
        <v>0</v>
      </c>
      <c r="CZ522" s="2">
        <f t="shared" si="468"/>
        <v>0</v>
      </c>
      <c r="DA522" s="2">
        <f t="shared" si="468"/>
        <v>0</v>
      </c>
      <c r="DB522" s="2">
        <f t="shared" si="468"/>
        <v>0</v>
      </c>
      <c r="DC522" s="2">
        <f t="shared" si="468"/>
        <v>0</v>
      </c>
      <c r="DD522" s="2">
        <f t="shared" si="468"/>
        <v>0</v>
      </c>
      <c r="DE522" s="2">
        <f t="shared" si="468"/>
        <v>0</v>
      </c>
      <c r="DF522" s="2">
        <f t="shared" si="468"/>
        <v>0</v>
      </c>
      <c r="DG522" s="3">
        <f t="shared" ref="DG522:EL522" si="469">DG534</f>
        <v>0</v>
      </c>
      <c r="DH522" s="3">
        <f t="shared" si="469"/>
        <v>0</v>
      </c>
      <c r="DI522" s="3">
        <f t="shared" si="469"/>
        <v>0</v>
      </c>
      <c r="DJ522" s="3">
        <f t="shared" si="469"/>
        <v>0</v>
      </c>
      <c r="DK522" s="3">
        <f t="shared" si="469"/>
        <v>0</v>
      </c>
      <c r="DL522" s="3">
        <f t="shared" si="469"/>
        <v>0</v>
      </c>
      <c r="DM522" s="3">
        <f t="shared" si="469"/>
        <v>0</v>
      </c>
      <c r="DN522" s="3">
        <f t="shared" si="469"/>
        <v>0</v>
      </c>
      <c r="DO522" s="3">
        <f t="shared" si="469"/>
        <v>0</v>
      </c>
      <c r="DP522" s="3">
        <f t="shared" si="469"/>
        <v>0</v>
      </c>
      <c r="DQ522" s="3">
        <f t="shared" si="469"/>
        <v>0</v>
      </c>
      <c r="DR522" s="3">
        <f t="shared" si="469"/>
        <v>0</v>
      </c>
      <c r="DS522" s="3">
        <f t="shared" si="469"/>
        <v>0</v>
      </c>
      <c r="DT522" s="3">
        <f t="shared" si="469"/>
        <v>0</v>
      </c>
      <c r="DU522" s="3">
        <f t="shared" si="469"/>
        <v>0</v>
      </c>
      <c r="DV522" s="3">
        <f t="shared" si="469"/>
        <v>0</v>
      </c>
      <c r="DW522" s="3">
        <f t="shared" si="469"/>
        <v>0</v>
      </c>
      <c r="DX522" s="3">
        <f t="shared" si="469"/>
        <v>0</v>
      </c>
      <c r="DY522" s="3">
        <f t="shared" si="469"/>
        <v>0</v>
      </c>
      <c r="DZ522" s="3">
        <f t="shared" si="469"/>
        <v>0</v>
      </c>
      <c r="EA522" s="3">
        <f t="shared" si="469"/>
        <v>0</v>
      </c>
      <c r="EB522" s="3">
        <f t="shared" si="469"/>
        <v>0</v>
      </c>
      <c r="EC522" s="3">
        <f t="shared" si="469"/>
        <v>0</v>
      </c>
      <c r="ED522" s="3">
        <f t="shared" si="469"/>
        <v>0</v>
      </c>
      <c r="EE522" s="3">
        <f t="shared" si="469"/>
        <v>0</v>
      </c>
      <c r="EF522" s="3">
        <f t="shared" si="469"/>
        <v>0</v>
      </c>
      <c r="EG522" s="3">
        <f t="shared" si="469"/>
        <v>0</v>
      </c>
      <c r="EH522" s="3">
        <f t="shared" si="469"/>
        <v>0</v>
      </c>
      <c r="EI522" s="3">
        <f t="shared" si="469"/>
        <v>0</v>
      </c>
      <c r="EJ522" s="3">
        <f t="shared" si="469"/>
        <v>0</v>
      </c>
      <c r="EK522" s="3">
        <f t="shared" si="469"/>
        <v>0</v>
      </c>
      <c r="EL522" s="3">
        <f t="shared" si="469"/>
        <v>0</v>
      </c>
      <c r="EM522" s="3">
        <f t="shared" ref="EM522:FR522" si="470">EM534</f>
        <v>0</v>
      </c>
      <c r="EN522" s="3">
        <f t="shared" si="470"/>
        <v>0</v>
      </c>
      <c r="EO522" s="3">
        <f t="shared" si="470"/>
        <v>0</v>
      </c>
      <c r="EP522" s="3">
        <f t="shared" si="470"/>
        <v>0</v>
      </c>
      <c r="EQ522" s="3">
        <f t="shared" si="470"/>
        <v>0</v>
      </c>
      <c r="ER522" s="3">
        <f t="shared" si="470"/>
        <v>0</v>
      </c>
      <c r="ES522" s="3">
        <f t="shared" si="470"/>
        <v>0</v>
      </c>
      <c r="ET522" s="3">
        <f t="shared" si="470"/>
        <v>0</v>
      </c>
      <c r="EU522" s="3">
        <f t="shared" si="470"/>
        <v>0</v>
      </c>
      <c r="EV522" s="3">
        <f t="shared" si="470"/>
        <v>0</v>
      </c>
      <c r="EW522" s="3">
        <f t="shared" si="470"/>
        <v>0</v>
      </c>
      <c r="EX522" s="3">
        <f t="shared" si="470"/>
        <v>0</v>
      </c>
      <c r="EY522" s="3">
        <f t="shared" si="470"/>
        <v>0</v>
      </c>
      <c r="EZ522" s="3">
        <f t="shared" si="470"/>
        <v>0</v>
      </c>
      <c r="FA522" s="3">
        <f t="shared" si="470"/>
        <v>0</v>
      </c>
      <c r="FB522" s="3">
        <f t="shared" si="470"/>
        <v>0</v>
      </c>
      <c r="FC522" s="3">
        <f t="shared" si="470"/>
        <v>0</v>
      </c>
      <c r="FD522" s="3">
        <f t="shared" si="470"/>
        <v>0</v>
      </c>
      <c r="FE522" s="3">
        <f t="shared" si="470"/>
        <v>0</v>
      </c>
      <c r="FF522" s="3">
        <f t="shared" si="470"/>
        <v>0</v>
      </c>
      <c r="FG522" s="3">
        <f t="shared" si="470"/>
        <v>0</v>
      </c>
      <c r="FH522" s="3">
        <f t="shared" si="470"/>
        <v>0</v>
      </c>
      <c r="FI522" s="3">
        <f t="shared" si="470"/>
        <v>0</v>
      </c>
      <c r="FJ522" s="3">
        <f t="shared" si="470"/>
        <v>0</v>
      </c>
      <c r="FK522" s="3">
        <f t="shared" si="470"/>
        <v>0</v>
      </c>
      <c r="FL522" s="3">
        <f t="shared" si="470"/>
        <v>0</v>
      </c>
      <c r="FM522" s="3">
        <f t="shared" si="470"/>
        <v>0</v>
      </c>
      <c r="FN522" s="3">
        <f t="shared" si="470"/>
        <v>0</v>
      </c>
      <c r="FO522" s="3">
        <f t="shared" si="470"/>
        <v>0</v>
      </c>
      <c r="FP522" s="3">
        <f t="shared" si="470"/>
        <v>0</v>
      </c>
      <c r="FQ522" s="3">
        <f t="shared" si="470"/>
        <v>0</v>
      </c>
      <c r="FR522" s="3">
        <f t="shared" si="470"/>
        <v>0</v>
      </c>
      <c r="FS522" s="3">
        <f t="shared" ref="FS522:GX522" si="471">FS534</f>
        <v>0</v>
      </c>
      <c r="FT522" s="3">
        <f t="shared" si="471"/>
        <v>0</v>
      </c>
      <c r="FU522" s="3">
        <f t="shared" si="471"/>
        <v>0</v>
      </c>
      <c r="FV522" s="3">
        <f t="shared" si="471"/>
        <v>0</v>
      </c>
      <c r="FW522" s="3">
        <f t="shared" si="471"/>
        <v>0</v>
      </c>
      <c r="FX522" s="3">
        <f t="shared" si="471"/>
        <v>0</v>
      </c>
      <c r="FY522" s="3">
        <f t="shared" si="471"/>
        <v>0</v>
      </c>
      <c r="FZ522" s="3">
        <f t="shared" si="471"/>
        <v>0</v>
      </c>
      <c r="GA522" s="3">
        <f t="shared" si="471"/>
        <v>0</v>
      </c>
      <c r="GB522" s="3">
        <f t="shared" si="471"/>
        <v>0</v>
      </c>
      <c r="GC522" s="3">
        <f t="shared" si="471"/>
        <v>0</v>
      </c>
      <c r="GD522" s="3">
        <f t="shared" si="471"/>
        <v>0</v>
      </c>
      <c r="GE522" s="3">
        <f t="shared" si="471"/>
        <v>0</v>
      </c>
      <c r="GF522" s="3">
        <f t="shared" si="471"/>
        <v>0</v>
      </c>
      <c r="GG522" s="3">
        <f t="shared" si="471"/>
        <v>0</v>
      </c>
      <c r="GH522" s="3">
        <f t="shared" si="471"/>
        <v>0</v>
      </c>
      <c r="GI522" s="3">
        <f t="shared" si="471"/>
        <v>0</v>
      </c>
      <c r="GJ522" s="3">
        <f t="shared" si="471"/>
        <v>0</v>
      </c>
      <c r="GK522" s="3">
        <f t="shared" si="471"/>
        <v>0</v>
      </c>
      <c r="GL522" s="3">
        <f t="shared" si="471"/>
        <v>0</v>
      </c>
      <c r="GM522" s="3">
        <f t="shared" si="471"/>
        <v>0</v>
      </c>
      <c r="GN522" s="3">
        <f t="shared" si="471"/>
        <v>0</v>
      </c>
      <c r="GO522" s="3">
        <f t="shared" si="471"/>
        <v>0</v>
      </c>
      <c r="GP522" s="3">
        <f t="shared" si="471"/>
        <v>0</v>
      </c>
      <c r="GQ522" s="3">
        <f t="shared" si="471"/>
        <v>0</v>
      </c>
      <c r="GR522" s="3">
        <f t="shared" si="471"/>
        <v>0</v>
      </c>
      <c r="GS522" s="3">
        <f t="shared" si="471"/>
        <v>0</v>
      </c>
      <c r="GT522" s="3">
        <f t="shared" si="471"/>
        <v>0</v>
      </c>
      <c r="GU522" s="3">
        <f t="shared" si="471"/>
        <v>0</v>
      </c>
      <c r="GV522" s="3">
        <f t="shared" si="471"/>
        <v>0</v>
      </c>
      <c r="GW522" s="3">
        <f t="shared" si="471"/>
        <v>0</v>
      </c>
      <c r="GX522" s="3">
        <f t="shared" si="471"/>
        <v>0</v>
      </c>
    </row>
    <row r="524" spans="1:245" x14ac:dyDescent="0.2">
      <c r="A524">
        <v>17</v>
      </c>
      <c r="B524">
        <v>1</v>
      </c>
      <c r="D524">
        <f>ROW(EtalonRes!A360)</f>
        <v>360</v>
      </c>
      <c r="E524" t="s">
        <v>487</v>
      </c>
      <c r="F524" t="s">
        <v>341</v>
      </c>
      <c r="G524" t="s">
        <v>488</v>
      </c>
      <c r="H524" t="s">
        <v>31</v>
      </c>
      <c r="I524">
        <v>7</v>
      </c>
      <c r="J524">
        <v>0</v>
      </c>
      <c r="K524">
        <v>7</v>
      </c>
      <c r="O524">
        <f t="shared" ref="O524:O532" si="472">ROUND(CP524,2)</f>
        <v>105177.03</v>
      </c>
      <c r="P524">
        <f t="shared" ref="P524:P532" si="473">ROUND(CQ524*I524,2)</f>
        <v>1438.71</v>
      </c>
      <c r="Q524">
        <f t="shared" ref="Q524:Q532" si="474">ROUND(CR524*I524,2)</f>
        <v>0</v>
      </c>
      <c r="R524">
        <f t="shared" ref="R524:R532" si="475">ROUND(CS524*I524,2)</f>
        <v>0</v>
      </c>
      <c r="S524">
        <f t="shared" ref="S524:S532" si="476">ROUND(CT524*I524,2)</f>
        <v>103738.32</v>
      </c>
      <c r="T524">
        <f t="shared" ref="T524:T532" si="477">ROUND(CU524*I524,2)</f>
        <v>0</v>
      </c>
      <c r="U524">
        <f t="shared" ref="U524:U532" si="478">CV524*I524</f>
        <v>168</v>
      </c>
      <c r="V524">
        <f t="shared" ref="V524:V532" si="479">CW524*I524</f>
        <v>0</v>
      </c>
      <c r="W524">
        <f t="shared" ref="W524:W532" si="480">ROUND(CX524*I524,2)</f>
        <v>0</v>
      </c>
      <c r="X524">
        <f t="shared" ref="X524:X532" si="481">ROUND(CY524,2)</f>
        <v>72616.820000000007</v>
      </c>
      <c r="Y524">
        <f t="shared" ref="Y524:Y532" si="482">ROUND(CZ524,2)</f>
        <v>10373.83</v>
      </c>
      <c r="AA524">
        <v>1471988752</v>
      </c>
      <c r="AB524">
        <f t="shared" ref="AB524:AB532" si="483">ROUND((AC524+AD524+AF524),6)</f>
        <v>15025.29</v>
      </c>
      <c r="AC524">
        <f>ROUND((ES524),6)</f>
        <v>205.53</v>
      </c>
      <c r="AD524">
        <f>ROUND((((ET524)-(EU524))+AE524),6)</f>
        <v>0</v>
      </c>
      <c r="AE524">
        <f>ROUND((EU524),6)</f>
        <v>0</v>
      </c>
      <c r="AF524">
        <f>ROUND((EV524),6)</f>
        <v>14819.76</v>
      </c>
      <c r="AG524">
        <f t="shared" ref="AG524:AG532" si="484">ROUND((AP524),6)</f>
        <v>0</v>
      </c>
      <c r="AH524">
        <f>(EW524)</f>
        <v>24</v>
      </c>
      <c r="AI524">
        <f>(EX524)</f>
        <v>0</v>
      </c>
      <c r="AJ524">
        <f t="shared" ref="AJ524:AJ532" si="485">(AS524)</f>
        <v>0</v>
      </c>
      <c r="AK524">
        <v>15025.29</v>
      </c>
      <c r="AL524">
        <v>205.53</v>
      </c>
      <c r="AM524">
        <v>0</v>
      </c>
      <c r="AN524">
        <v>0</v>
      </c>
      <c r="AO524">
        <v>14819.76</v>
      </c>
      <c r="AP524">
        <v>0</v>
      </c>
      <c r="AQ524">
        <v>24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343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ref="CP524:CP532" si="486">(P524+Q524+S524)</f>
        <v>105177.03000000001</v>
      </c>
      <c r="CQ524">
        <f t="shared" ref="CQ524:CQ532" si="487">(AC524*BC524*AW524)</f>
        <v>205.53</v>
      </c>
      <c r="CR524">
        <f>((((ET524)*BB524-(EU524)*BS524)+AE524*BS524)*AV524)</f>
        <v>0</v>
      </c>
      <c r="CS524">
        <f t="shared" ref="CS524:CS532" si="488">(AE524*BS524*AV524)</f>
        <v>0</v>
      </c>
      <c r="CT524">
        <f t="shared" ref="CT524:CT532" si="489">(AF524*BA524*AV524)</f>
        <v>14819.76</v>
      </c>
      <c r="CU524">
        <f t="shared" ref="CU524:CU532" si="490">AG524</f>
        <v>0</v>
      </c>
      <c r="CV524">
        <f t="shared" ref="CV524:CV532" si="491">(AH524*AV524)</f>
        <v>24</v>
      </c>
      <c r="CW524">
        <f t="shared" ref="CW524:CW532" si="492">AI524</f>
        <v>0</v>
      </c>
      <c r="CX524">
        <f t="shared" ref="CX524:CX532" si="493">AJ524</f>
        <v>0</v>
      </c>
      <c r="CY524">
        <f t="shared" ref="CY524:CY532" si="494">((S524*BZ524)/100)</f>
        <v>72616.824000000008</v>
      </c>
      <c r="CZ524">
        <f t="shared" ref="CZ524:CZ532" si="495">((S524*CA524)/100)</f>
        <v>10373.832</v>
      </c>
      <c r="DC524" t="s">
        <v>3</v>
      </c>
      <c r="DD524" t="s">
        <v>3</v>
      </c>
      <c r="DE524" t="s">
        <v>3</v>
      </c>
      <c r="DF524" t="s">
        <v>3</v>
      </c>
      <c r="DG524" t="s">
        <v>3</v>
      </c>
      <c r="DH524" t="s">
        <v>3</v>
      </c>
      <c r="DI524" t="s">
        <v>3</v>
      </c>
      <c r="DJ524" t="s">
        <v>3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31</v>
      </c>
      <c r="DW524" t="s">
        <v>31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19</v>
      </c>
      <c r="EH524">
        <v>0</v>
      </c>
      <c r="EI524" t="s">
        <v>3</v>
      </c>
      <c r="EJ524">
        <v>4</v>
      </c>
      <c r="EK524">
        <v>0</v>
      </c>
      <c r="EL524" t="s">
        <v>20</v>
      </c>
      <c r="EM524" t="s">
        <v>21</v>
      </c>
      <c r="EO524" t="s">
        <v>3</v>
      </c>
      <c r="EQ524">
        <v>0</v>
      </c>
      <c r="ER524">
        <v>15025.29</v>
      </c>
      <c r="ES524">
        <v>205.53</v>
      </c>
      <c r="ET524">
        <v>0</v>
      </c>
      <c r="EU524">
        <v>0</v>
      </c>
      <c r="EV524">
        <v>14819.76</v>
      </c>
      <c r="EW524">
        <v>24</v>
      </c>
      <c r="EX524">
        <v>0</v>
      </c>
      <c r="EY524">
        <v>0</v>
      </c>
      <c r="FQ524">
        <v>0</v>
      </c>
      <c r="FR524">
        <f t="shared" ref="FR524:FR532" si="496">ROUND(IF(BI524=3,GM524,0),2)</f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256355354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ref="GL524:GL532" si="497">ROUND(IF(AND(BH524=3,BI524=3,FS524&lt;&gt;0),P524,0),2)</f>
        <v>0</v>
      </c>
      <c r="GM524">
        <f t="shared" ref="GM524:GM532" si="498">ROUND(O524+X524+Y524+GK524,2)+GX524</f>
        <v>188167.67999999999</v>
      </c>
      <c r="GN524">
        <f t="shared" ref="GN524:GN532" si="499">IF(OR(BI524=0,BI524=1),GM524-GX524,0)</f>
        <v>0</v>
      </c>
      <c r="GO524">
        <f t="shared" ref="GO524:GO532" si="500">IF(BI524=2,GM524-GX524,0)</f>
        <v>0</v>
      </c>
      <c r="GP524">
        <f t="shared" ref="GP524:GP532" si="501">IF(BI524=4,GM524-GX524,0)</f>
        <v>188167.67999999999</v>
      </c>
      <c r="GR524">
        <v>0</v>
      </c>
      <c r="GS524">
        <v>3</v>
      </c>
      <c r="GT524">
        <v>0</v>
      </c>
      <c r="GU524" t="s">
        <v>3</v>
      </c>
      <c r="GV524">
        <f t="shared" ref="GV524:GV532" si="502">ROUND((GT524),6)</f>
        <v>0</v>
      </c>
      <c r="GW524">
        <v>1</v>
      </c>
      <c r="GX524">
        <f t="shared" ref="GX524:GX532" si="503">ROUND(HC524*I524,2)</f>
        <v>0</v>
      </c>
      <c r="HA524">
        <v>0</v>
      </c>
      <c r="HB524">
        <v>0</v>
      </c>
      <c r="HC524">
        <f t="shared" ref="HC524:HC532" si="504">GV524*GW524</f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ROW(EtalonRes!A362)</f>
        <v>362</v>
      </c>
      <c r="E525" t="s">
        <v>3</v>
      </c>
      <c r="F525" t="s">
        <v>344</v>
      </c>
      <c r="G525" t="s">
        <v>345</v>
      </c>
      <c r="H525" t="s">
        <v>31</v>
      </c>
      <c r="I525">
        <v>7</v>
      </c>
      <c r="J525">
        <v>0</v>
      </c>
      <c r="K525">
        <v>7</v>
      </c>
      <c r="O525">
        <f t="shared" si="472"/>
        <v>55409.760000000002</v>
      </c>
      <c r="P525">
        <f t="shared" si="473"/>
        <v>82.88</v>
      </c>
      <c r="Q525">
        <f t="shared" si="474"/>
        <v>0</v>
      </c>
      <c r="R525">
        <f t="shared" si="475"/>
        <v>0</v>
      </c>
      <c r="S525">
        <f t="shared" si="476"/>
        <v>55326.879999999997</v>
      </c>
      <c r="T525">
        <f t="shared" si="477"/>
        <v>0</v>
      </c>
      <c r="U525">
        <f t="shared" si="478"/>
        <v>89.600000000000009</v>
      </c>
      <c r="V525">
        <f t="shared" si="479"/>
        <v>0</v>
      </c>
      <c r="W525">
        <f t="shared" si="480"/>
        <v>0</v>
      </c>
      <c r="X525">
        <f t="shared" si="481"/>
        <v>38728.82</v>
      </c>
      <c r="Y525">
        <f t="shared" si="482"/>
        <v>5532.69</v>
      </c>
      <c r="AA525">
        <v>-1</v>
      </c>
      <c r="AB525">
        <f t="shared" si="483"/>
        <v>7915.68</v>
      </c>
      <c r="AC525">
        <f>ROUND(((ES525*16)),6)</f>
        <v>11.84</v>
      </c>
      <c r="AD525">
        <f>ROUND(((((ET525*16))-((EU525*16)))+AE525),6)</f>
        <v>0</v>
      </c>
      <c r="AE525">
        <f>ROUND(((EU525*16)),6)</f>
        <v>0</v>
      </c>
      <c r="AF525">
        <f>ROUND(((EV525*16)),6)</f>
        <v>7903.84</v>
      </c>
      <c r="AG525">
        <f t="shared" si="484"/>
        <v>0</v>
      </c>
      <c r="AH525">
        <f>((EW525*16))</f>
        <v>12.8</v>
      </c>
      <c r="AI525">
        <f>((EX525*16))</f>
        <v>0</v>
      </c>
      <c r="AJ525">
        <f t="shared" si="485"/>
        <v>0</v>
      </c>
      <c r="AK525">
        <v>494.73</v>
      </c>
      <c r="AL525">
        <v>0.74</v>
      </c>
      <c r="AM525">
        <v>0</v>
      </c>
      <c r="AN525">
        <v>0</v>
      </c>
      <c r="AO525">
        <v>493.99</v>
      </c>
      <c r="AP525">
        <v>0</v>
      </c>
      <c r="AQ525">
        <v>0.8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346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86"/>
        <v>55409.759999999995</v>
      </c>
      <c r="CQ525">
        <f t="shared" si="487"/>
        <v>11.84</v>
      </c>
      <c r="CR525">
        <f>(((((ET525*16))*BB525-((EU525*16))*BS525)+AE525*BS525)*AV525)</f>
        <v>0</v>
      </c>
      <c r="CS525">
        <f t="shared" si="488"/>
        <v>0</v>
      </c>
      <c r="CT525">
        <f t="shared" si="489"/>
        <v>7903.84</v>
      </c>
      <c r="CU525">
        <f t="shared" si="490"/>
        <v>0</v>
      </c>
      <c r="CV525">
        <f t="shared" si="491"/>
        <v>12.8</v>
      </c>
      <c r="CW525">
        <f t="shared" si="492"/>
        <v>0</v>
      </c>
      <c r="CX525">
        <f t="shared" si="493"/>
        <v>0</v>
      </c>
      <c r="CY525">
        <f t="shared" si="494"/>
        <v>38728.815999999999</v>
      </c>
      <c r="CZ525">
        <f t="shared" si="495"/>
        <v>5532.6879999999992</v>
      </c>
      <c r="DC525" t="s">
        <v>3</v>
      </c>
      <c r="DD525" t="s">
        <v>332</v>
      </c>
      <c r="DE525" t="s">
        <v>332</v>
      </c>
      <c r="DF525" t="s">
        <v>332</v>
      </c>
      <c r="DG525" t="s">
        <v>332</v>
      </c>
      <c r="DH525" t="s">
        <v>3</v>
      </c>
      <c r="DI525" t="s">
        <v>332</v>
      </c>
      <c r="DJ525" t="s">
        <v>332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31</v>
      </c>
      <c r="DW525" t="s">
        <v>31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19</v>
      </c>
      <c r="EH525">
        <v>0</v>
      </c>
      <c r="EI525" t="s">
        <v>3</v>
      </c>
      <c r="EJ525">
        <v>4</v>
      </c>
      <c r="EK525">
        <v>0</v>
      </c>
      <c r="EL525" t="s">
        <v>20</v>
      </c>
      <c r="EM525" t="s">
        <v>21</v>
      </c>
      <c r="EO525" t="s">
        <v>3</v>
      </c>
      <c r="EQ525">
        <v>1024</v>
      </c>
      <c r="ER525">
        <v>494.73</v>
      </c>
      <c r="ES525">
        <v>0.74</v>
      </c>
      <c r="ET525">
        <v>0</v>
      </c>
      <c r="EU525">
        <v>0</v>
      </c>
      <c r="EV525">
        <v>493.99</v>
      </c>
      <c r="EW525">
        <v>0.8</v>
      </c>
      <c r="EX525">
        <v>0</v>
      </c>
      <c r="EY525">
        <v>0</v>
      </c>
      <c r="FQ525">
        <v>0</v>
      </c>
      <c r="FR525">
        <f t="shared" si="496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-1912802092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97"/>
        <v>0</v>
      </c>
      <c r="GM525">
        <f t="shared" si="498"/>
        <v>99671.27</v>
      </c>
      <c r="GN525">
        <f t="shared" si="499"/>
        <v>0</v>
      </c>
      <c r="GO525">
        <f t="shared" si="500"/>
        <v>0</v>
      </c>
      <c r="GP525">
        <f t="shared" si="501"/>
        <v>99671.27</v>
      </c>
      <c r="GR525">
        <v>0</v>
      </c>
      <c r="GS525">
        <v>3</v>
      </c>
      <c r="GT525">
        <v>0</v>
      </c>
      <c r="GU525" t="s">
        <v>3</v>
      </c>
      <c r="GV525">
        <f t="shared" si="502"/>
        <v>0</v>
      </c>
      <c r="GW525">
        <v>1</v>
      </c>
      <c r="GX525">
        <f t="shared" si="503"/>
        <v>0</v>
      </c>
      <c r="HA525">
        <v>0</v>
      </c>
      <c r="HB525">
        <v>0</v>
      </c>
      <c r="HC525">
        <f t="shared" si="504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ROW(EtalonRes!A367)</f>
        <v>367</v>
      </c>
      <c r="E526" t="s">
        <v>489</v>
      </c>
      <c r="F526" t="s">
        <v>334</v>
      </c>
      <c r="G526" t="s">
        <v>490</v>
      </c>
      <c r="H526" t="s">
        <v>31</v>
      </c>
      <c r="I526">
        <f>ROUND(7+7+6,9)</f>
        <v>20</v>
      </c>
      <c r="J526">
        <v>0</v>
      </c>
      <c r="K526">
        <f>ROUND(7+7+6,9)</f>
        <v>20</v>
      </c>
      <c r="O526">
        <f t="shared" si="472"/>
        <v>187816</v>
      </c>
      <c r="P526">
        <f t="shared" si="473"/>
        <v>2569</v>
      </c>
      <c r="Q526">
        <f t="shared" si="474"/>
        <v>0</v>
      </c>
      <c r="R526">
        <f t="shared" si="475"/>
        <v>0</v>
      </c>
      <c r="S526">
        <f t="shared" si="476"/>
        <v>185247</v>
      </c>
      <c r="T526">
        <f t="shared" si="477"/>
        <v>0</v>
      </c>
      <c r="U526">
        <f t="shared" si="478"/>
        <v>300</v>
      </c>
      <c r="V526">
        <f t="shared" si="479"/>
        <v>0</v>
      </c>
      <c r="W526">
        <f t="shared" si="480"/>
        <v>0</v>
      </c>
      <c r="X526">
        <f t="shared" si="481"/>
        <v>129672.9</v>
      </c>
      <c r="Y526">
        <f t="shared" si="482"/>
        <v>18524.7</v>
      </c>
      <c r="AA526">
        <v>1471988752</v>
      </c>
      <c r="AB526">
        <f t="shared" si="483"/>
        <v>9390.7999999999993</v>
      </c>
      <c r="AC526">
        <f>ROUND((ES526),6)</f>
        <v>128.44999999999999</v>
      </c>
      <c r="AD526">
        <f>ROUND((((ET526)-(EU526))+AE526),6)</f>
        <v>0</v>
      </c>
      <c r="AE526">
        <f>ROUND((EU526),6)</f>
        <v>0</v>
      </c>
      <c r="AF526">
        <f>ROUND((EV526),6)</f>
        <v>9262.35</v>
      </c>
      <c r="AG526">
        <f t="shared" si="484"/>
        <v>0</v>
      </c>
      <c r="AH526">
        <f>(EW526)</f>
        <v>15</v>
      </c>
      <c r="AI526">
        <f>(EX526)</f>
        <v>0</v>
      </c>
      <c r="AJ526">
        <f t="shared" si="485"/>
        <v>0</v>
      </c>
      <c r="AK526">
        <v>9390.7999999999993</v>
      </c>
      <c r="AL526">
        <v>128.44999999999999</v>
      </c>
      <c r="AM526">
        <v>0</v>
      </c>
      <c r="AN526">
        <v>0</v>
      </c>
      <c r="AO526">
        <v>9262.35</v>
      </c>
      <c r="AP526">
        <v>0</v>
      </c>
      <c r="AQ526">
        <v>15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336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86"/>
        <v>187816</v>
      </c>
      <c r="CQ526">
        <f t="shared" si="487"/>
        <v>128.44999999999999</v>
      </c>
      <c r="CR526">
        <f>((((ET526)*BB526-(EU526)*BS526)+AE526*BS526)*AV526)</f>
        <v>0</v>
      </c>
      <c r="CS526">
        <f t="shared" si="488"/>
        <v>0</v>
      </c>
      <c r="CT526">
        <f t="shared" si="489"/>
        <v>9262.35</v>
      </c>
      <c r="CU526">
        <f t="shared" si="490"/>
        <v>0</v>
      </c>
      <c r="CV526">
        <f t="shared" si="491"/>
        <v>15</v>
      </c>
      <c r="CW526">
        <f t="shared" si="492"/>
        <v>0</v>
      </c>
      <c r="CX526">
        <f t="shared" si="493"/>
        <v>0</v>
      </c>
      <c r="CY526">
        <f t="shared" si="494"/>
        <v>129672.9</v>
      </c>
      <c r="CZ526">
        <f t="shared" si="495"/>
        <v>18524.7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31</v>
      </c>
      <c r="DW526" t="s">
        <v>31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19</v>
      </c>
      <c r="EH526">
        <v>0</v>
      </c>
      <c r="EI526" t="s">
        <v>3</v>
      </c>
      <c r="EJ526">
        <v>4</v>
      </c>
      <c r="EK526">
        <v>0</v>
      </c>
      <c r="EL526" t="s">
        <v>20</v>
      </c>
      <c r="EM526" t="s">
        <v>21</v>
      </c>
      <c r="EO526" t="s">
        <v>3</v>
      </c>
      <c r="EQ526">
        <v>0</v>
      </c>
      <c r="ER526">
        <v>9390.7999999999993</v>
      </c>
      <c r="ES526">
        <v>128.44999999999999</v>
      </c>
      <c r="ET526">
        <v>0</v>
      </c>
      <c r="EU526">
        <v>0</v>
      </c>
      <c r="EV526">
        <v>9262.35</v>
      </c>
      <c r="EW526">
        <v>15</v>
      </c>
      <c r="EX526">
        <v>0</v>
      </c>
      <c r="EY526">
        <v>0</v>
      </c>
      <c r="FQ526">
        <v>0</v>
      </c>
      <c r="FR526">
        <f t="shared" si="496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-466824550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97"/>
        <v>0</v>
      </c>
      <c r="GM526">
        <f t="shared" si="498"/>
        <v>336013.6</v>
      </c>
      <c r="GN526">
        <f t="shared" si="499"/>
        <v>0</v>
      </c>
      <c r="GO526">
        <f t="shared" si="500"/>
        <v>0</v>
      </c>
      <c r="GP526">
        <f t="shared" si="501"/>
        <v>336013.6</v>
      </c>
      <c r="GR526">
        <v>0</v>
      </c>
      <c r="GS526">
        <v>3</v>
      </c>
      <c r="GT526">
        <v>0</v>
      </c>
      <c r="GU526" t="s">
        <v>3</v>
      </c>
      <c r="GV526">
        <f t="shared" si="502"/>
        <v>0</v>
      </c>
      <c r="GW526">
        <v>1</v>
      </c>
      <c r="GX526">
        <f t="shared" si="503"/>
        <v>0</v>
      </c>
      <c r="HA526">
        <v>0</v>
      </c>
      <c r="HB526">
        <v>0</v>
      </c>
      <c r="HC526">
        <f t="shared" si="504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ROW(EtalonRes!A369)</f>
        <v>369</v>
      </c>
      <c r="E527" t="s">
        <v>3</v>
      </c>
      <c r="F527" t="s">
        <v>337</v>
      </c>
      <c r="G527" t="s">
        <v>491</v>
      </c>
      <c r="H527" t="s">
        <v>31</v>
      </c>
      <c r="I527">
        <f>ROUND(7+7+6,9)</f>
        <v>20</v>
      </c>
      <c r="J527">
        <v>0</v>
      </c>
      <c r="K527">
        <f>ROUND(7+7+6,9)</f>
        <v>20</v>
      </c>
      <c r="O527">
        <f t="shared" si="472"/>
        <v>99033.600000000006</v>
      </c>
      <c r="P527">
        <f t="shared" si="473"/>
        <v>236.8</v>
      </c>
      <c r="Q527">
        <f t="shared" si="474"/>
        <v>0</v>
      </c>
      <c r="R527">
        <f t="shared" si="475"/>
        <v>0</v>
      </c>
      <c r="S527">
        <f t="shared" si="476"/>
        <v>98796.800000000003</v>
      </c>
      <c r="T527">
        <f t="shared" si="477"/>
        <v>0</v>
      </c>
      <c r="U527">
        <f t="shared" si="478"/>
        <v>160</v>
      </c>
      <c r="V527">
        <f t="shared" si="479"/>
        <v>0</v>
      </c>
      <c r="W527">
        <f t="shared" si="480"/>
        <v>0</v>
      </c>
      <c r="X527">
        <f t="shared" si="481"/>
        <v>69157.759999999995</v>
      </c>
      <c r="Y527">
        <f t="shared" si="482"/>
        <v>9879.68</v>
      </c>
      <c r="AA527">
        <v>-1</v>
      </c>
      <c r="AB527">
        <f t="shared" si="483"/>
        <v>4951.68</v>
      </c>
      <c r="AC527">
        <f>ROUND(((ES527*16)),6)</f>
        <v>11.84</v>
      </c>
      <c r="AD527">
        <f>ROUND(((((ET527*16))-((EU527*16)))+AE527),6)</f>
        <v>0</v>
      </c>
      <c r="AE527">
        <f>ROUND(((EU527*16)),6)</f>
        <v>0</v>
      </c>
      <c r="AF527">
        <f>ROUND(((EV527*16)),6)</f>
        <v>4939.84</v>
      </c>
      <c r="AG527">
        <f t="shared" si="484"/>
        <v>0</v>
      </c>
      <c r="AH527">
        <f>((EW527*16))</f>
        <v>8</v>
      </c>
      <c r="AI527">
        <f>((EX527*16))</f>
        <v>0</v>
      </c>
      <c r="AJ527">
        <f t="shared" si="485"/>
        <v>0</v>
      </c>
      <c r="AK527">
        <v>309.48</v>
      </c>
      <c r="AL527">
        <v>0.74</v>
      </c>
      <c r="AM527">
        <v>0</v>
      </c>
      <c r="AN527">
        <v>0</v>
      </c>
      <c r="AO527">
        <v>308.74</v>
      </c>
      <c r="AP527">
        <v>0</v>
      </c>
      <c r="AQ527">
        <v>0.5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339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86"/>
        <v>99033.600000000006</v>
      </c>
      <c r="CQ527">
        <f t="shared" si="487"/>
        <v>11.84</v>
      </c>
      <c r="CR527">
        <f>(((((ET527*16))*BB527-((EU527*16))*BS527)+AE527*BS527)*AV527)</f>
        <v>0</v>
      </c>
      <c r="CS527">
        <f t="shared" si="488"/>
        <v>0</v>
      </c>
      <c r="CT527">
        <f t="shared" si="489"/>
        <v>4939.84</v>
      </c>
      <c r="CU527">
        <f t="shared" si="490"/>
        <v>0</v>
      </c>
      <c r="CV527">
        <f t="shared" si="491"/>
        <v>8</v>
      </c>
      <c r="CW527">
        <f t="shared" si="492"/>
        <v>0</v>
      </c>
      <c r="CX527">
        <f t="shared" si="493"/>
        <v>0</v>
      </c>
      <c r="CY527">
        <f t="shared" si="494"/>
        <v>69157.759999999995</v>
      </c>
      <c r="CZ527">
        <f t="shared" si="495"/>
        <v>9879.68</v>
      </c>
      <c r="DC527" t="s">
        <v>3</v>
      </c>
      <c r="DD527" t="s">
        <v>332</v>
      </c>
      <c r="DE527" t="s">
        <v>332</v>
      </c>
      <c r="DF527" t="s">
        <v>332</v>
      </c>
      <c r="DG527" t="s">
        <v>332</v>
      </c>
      <c r="DH527" t="s">
        <v>3</v>
      </c>
      <c r="DI527" t="s">
        <v>332</v>
      </c>
      <c r="DJ527" t="s">
        <v>332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31</v>
      </c>
      <c r="DW527" t="s">
        <v>31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19</v>
      </c>
      <c r="EH527">
        <v>0</v>
      </c>
      <c r="EI527" t="s">
        <v>3</v>
      </c>
      <c r="EJ527">
        <v>4</v>
      </c>
      <c r="EK527">
        <v>0</v>
      </c>
      <c r="EL527" t="s">
        <v>20</v>
      </c>
      <c r="EM527" t="s">
        <v>21</v>
      </c>
      <c r="EO527" t="s">
        <v>3</v>
      </c>
      <c r="EQ527">
        <v>1024</v>
      </c>
      <c r="ER527">
        <v>309.48</v>
      </c>
      <c r="ES527">
        <v>0.74</v>
      </c>
      <c r="ET527">
        <v>0</v>
      </c>
      <c r="EU527">
        <v>0</v>
      </c>
      <c r="EV527">
        <v>308.74</v>
      </c>
      <c r="EW527">
        <v>0.5</v>
      </c>
      <c r="EX527">
        <v>0</v>
      </c>
      <c r="EY527">
        <v>0</v>
      </c>
      <c r="FQ527">
        <v>0</v>
      </c>
      <c r="FR527">
        <f t="shared" si="496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-2066111173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97"/>
        <v>0</v>
      </c>
      <c r="GM527">
        <f t="shared" si="498"/>
        <v>178071.04000000001</v>
      </c>
      <c r="GN527">
        <f t="shared" si="499"/>
        <v>0</v>
      </c>
      <c r="GO527">
        <f t="shared" si="500"/>
        <v>0</v>
      </c>
      <c r="GP527">
        <f t="shared" si="501"/>
        <v>178071.04000000001</v>
      </c>
      <c r="GR527">
        <v>0</v>
      </c>
      <c r="GS527">
        <v>3</v>
      </c>
      <c r="GT527">
        <v>0</v>
      </c>
      <c r="GU527" t="s">
        <v>3</v>
      </c>
      <c r="GV527">
        <f t="shared" si="502"/>
        <v>0</v>
      </c>
      <c r="GW527">
        <v>1</v>
      </c>
      <c r="GX527">
        <f t="shared" si="503"/>
        <v>0</v>
      </c>
      <c r="HA527">
        <v>0</v>
      </c>
      <c r="HB527">
        <v>0</v>
      </c>
      <c r="HC527">
        <f t="shared" si="504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ROW(EtalonRes!A374)</f>
        <v>374</v>
      </c>
      <c r="E528" t="s">
        <v>492</v>
      </c>
      <c r="F528" t="s">
        <v>493</v>
      </c>
      <c r="G528" t="s">
        <v>494</v>
      </c>
      <c r="H528" t="s">
        <v>31</v>
      </c>
      <c r="I528">
        <v>6</v>
      </c>
      <c r="J528">
        <v>0</v>
      </c>
      <c r="K528">
        <v>6</v>
      </c>
      <c r="O528">
        <f t="shared" si="472"/>
        <v>33806.94</v>
      </c>
      <c r="P528">
        <f t="shared" si="473"/>
        <v>462.48</v>
      </c>
      <c r="Q528">
        <f t="shared" si="474"/>
        <v>0</v>
      </c>
      <c r="R528">
        <f t="shared" si="475"/>
        <v>0</v>
      </c>
      <c r="S528">
        <f t="shared" si="476"/>
        <v>33344.46</v>
      </c>
      <c r="T528">
        <f t="shared" si="477"/>
        <v>0</v>
      </c>
      <c r="U528">
        <f t="shared" si="478"/>
        <v>54</v>
      </c>
      <c r="V528">
        <f t="shared" si="479"/>
        <v>0</v>
      </c>
      <c r="W528">
        <f t="shared" si="480"/>
        <v>0</v>
      </c>
      <c r="X528">
        <f t="shared" si="481"/>
        <v>23341.119999999999</v>
      </c>
      <c r="Y528">
        <f t="shared" si="482"/>
        <v>3334.45</v>
      </c>
      <c r="AA528">
        <v>1471988752</v>
      </c>
      <c r="AB528">
        <f t="shared" si="483"/>
        <v>5634.49</v>
      </c>
      <c r="AC528">
        <f>ROUND((ES528),6)</f>
        <v>77.08</v>
      </c>
      <c r="AD528">
        <f>ROUND((((ET528)-(EU528))+AE528),6)</f>
        <v>0</v>
      </c>
      <c r="AE528">
        <f>ROUND((EU528),6)</f>
        <v>0</v>
      </c>
      <c r="AF528">
        <f>ROUND((EV528),6)</f>
        <v>5557.41</v>
      </c>
      <c r="AG528">
        <f t="shared" si="484"/>
        <v>0</v>
      </c>
      <c r="AH528">
        <f>(EW528)</f>
        <v>9</v>
      </c>
      <c r="AI528">
        <f>(EX528)</f>
        <v>0</v>
      </c>
      <c r="AJ528">
        <f t="shared" si="485"/>
        <v>0</v>
      </c>
      <c r="AK528">
        <v>5634.49</v>
      </c>
      <c r="AL528">
        <v>77.08</v>
      </c>
      <c r="AM528">
        <v>0</v>
      </c>
      <c r="AN528">
        <v>0</v>
      </c>
      <c r="AO528">
        <v>5557.41</v>
      </c>
      <c r="AP528">
        <v>0</v>
      </c>
      <c r="AQ528">
        <v>9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495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86"/>
        <v>33806.94</v>
      </c>
      <c r="CQ528">
        <f t="shared" si="487"/>
        <v>77.08</v>
      </c>
      <c r="CR528">
        <f>((((ET528)*BB528-(EU528)*BS528)+AE528*BS528)*AV528)</f>
        <v>0</v>
      </c>
      <c r="CS528">
        <f t="shared" si="488"/>
        <v>0</v>
      </c>
      <c r="CT528">
        <f t="shared" si="489"/>
        <v>5557.41</v>
      </c>
      <c r="CU528">
        <f t="shared" si="490"/>
        <v>0</v>
      </c>
      <c r="CV528">
        <f t="shared" si="491"/>
        <v>9</v>
      </c>
      <c r="CW528">
        <f t="shared" si="492"/>
        <v>0</v>
      </c>
      <c r="CX528">
        <f t="shared" si="493"/>
        <v>0</v>
      </c>
      <c r="CY528">
        <f t="shared" si="494"/>
        <v>23341.121999999996</v>
      </c>
      <c r="CZ528">
        <f t="shared" si="495"/>
        <v>3334.4459999999999</v>
      </c>
      <c r="DC528" t="s">
        <v>3</v>
      </c>
      <c r="DD528" t="s">
        <v>3</v>
      </c>
      <c r="DE528" t="s">
        <v>3</v>
      </c>
      <c r="DF528" t="s">
        <v>3</v>
      </c>
      <c r="DG528" t="s">
        <v>3</v>
      </c>
      <c r="DH528" t="s">
        <v>3</v>
      </c>
      <c r="DI528" t="s">
        <v>3</v>
      </c>
      <c r="DJ528" t="s">
        <v>3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31</v>
      </c>
      <c r="DW528" t="s">
        <v>31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19</v>
      </c>
      <c r="EH528">
        <v>0</v>
      </c>
      <c r="EI528" t="s">
        <v>3</v>
      </c>
      <c r="EJ528">
        <v>4</v>
      </c>
      <c r="EK528">
        <v>0</v>
      </c>
      <c r="EL528" t="s">
        <v>20</v>
      </c>
      <c r="EM528" t="s">
        <v>21</v>
      </c>
      <c r="EO528" t="s">
        <v>3</v>
      </c>
      <c r="EQ528">
        <v>0</v>
      </c>
      <c r="ER528">
        <v>5634.49</v>
      </c>
      <c r="ES528">
        <v>77.08</v>
      </c>
      <c r="ET528">
        <v>0</v>
      </c>
      <c r="EU528">
        <v>0</v>
      </c>
      <c r="EV528">
        <v>5557.41</v>
      </c>
      <c r="EW528">
        <v>9</v>
      </c>
      <c r="EX528">
        <v>0</v>
      </c>
      <c r="EY528">
        <v>0</v>
      </c>
      <c r="FQ528">
        <v>0</v>
      </c>
      <c r="FR528">
        <f t="shared" si="496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-313571236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97"/>
        <v>0</v>
      </c>
      <c r="GM528">
        <f t="shared" si="498"/>
        <v>60482.51</v>
      </c>
      <c r="GN528">
        <f t="shared" si="499"/>
        <v>0</v>
      </c>
      <c r="GO528">
        <f t="shared" si="500"/>
        <v>0</v>
      </c>
      <c r="GP528">
        <f t="shared" si="501"/>
        <v>60482.51</v>
      </c>
      <c r="GR528">
        <v>0</v>
      </c>
      <c r="GS528">
        <v>3</v>
      </c>
      <c r="GT528">
        <v>0</v>
      </c>
      <c r="GU528" t="s">
        <v>3</v>
      </c>
      <c r="GV528">
        <f t="shared" si="502"/>
        <v>0</v>
      </c>
      <c r="GW528">
        <v>1</v>
      </c>
      <c r="GX528">
        <f t="shared" si="503"/>
        <v>0</v>
      </c>
      <c r="HA528">
        <v>0</v>
      </c>
      <c r="HB528">
        <v>0</v>
      </c>
      <c r="HC528">
        <f t="shared" si="504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ROW(EtalonRes!A375)</f>
        <v>375</v>
      </c>
      <c r="E529" t="s">
        <v>3</v>
      </c>
      <c r="F529" t="s">
        <v>496</v>
      </c>
      <c r="G529" t="s">
        <v>497</v>
      </c>
      <c r="H529" t="s">
        <v>31</v>
      </c>
      <c r="I529">
        <v>6</v>
      </c>
      <c r="J529">
        <v>0</v>
      </c>
      <c r="K529">
        <v>6</v>
      </c>
      <c r="O529">
        <f t="shared" si="472"/>
        <v>17784</v>
      </c>
      <c r="P529">
        <f t="shared" si="473"/>
        <v>0</v>
      </c>
      <c r="Q529">
        <f t="shared" si="474"/>
        <v>0</v>
      </c>
      <c r="R529">
        <f t="shared" si="475"/>
        <v>0</v>
      </c>
      <c r="S529">
        <f t="shared" si="476"/>
        <v>17784</v>
      </c>
      <c r="T529">
        <f t="shared" si="477"/>
        <v>0</v>
      </c>
      <c r="U529">
        <f t="shared" si="478"/>
        <v>28.799999999999997</v>
      </c>
      <c r="V529">
        <f t="shared" si="479"/>
        <v>0</v>
      </c>
      <c r="W529">
        <f t="shared" si="480"/>
        <v>0</v>
      </c>
      <c r="X529">
        <f t="shared" si="481"/>
        <v>12448.8</v>
      </c>
      <c r="Y529">
        <f t="shared" si="482"/>
        <v>1778.4</v>
      </c>
      <c r="AA529">
        <v>-1</v>
      </c>
      <c r="AB529">
        <f t="shared" si="483"/>
        <v>2964</v>
      </c>
      <c r="AC529">
        <f>ROUND(((ES529*16)),6)</f>
        <v>0</v>
      </c>
      <c r="AD529">
        <f>ROUND(((((ET529*16))-((EU529*16)))+AE529),6)</f>
        <v>0</v>
      </c>
      <c r="AE529">
        <f>ROUND(((EU529*16)),6)</f>
        <v>0</v>
      </c>
      <c r="AF529">
        <f>ROUND(((EV529*16)),6)</f>
        <v>2964</v>
      </c>
      <c r="AG529">
        <f t="shared" si="484"/>
        <v>0</v>
      </c>
      <c r="AH529">
        <f>((EW529*16))</f>
        <v>4.8</v>
      </c>
      <c r="AI529">
        <f>((EX529*16))</f>
        <v>0</v>
      </c>
      <c r="AJ529">
        <f t="shared" si="485"/>
        <v>0</v>
      </c>
      <c r="AK529">
        <v>185.25</v>
      </c>
      <c r="AL529">
        <v>0</v>
      </c>
      <c r="AM529">
        <v>0</v>
      </c>
      <c r="AN529">
        <v>0</v>
      </c>
      <c r="AO529">
        <v>185.25</v>
      </c>
      <c r="AP529">
        <v>0</v>
      </c>
      <c r="AQ529">
        <v>0.3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498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86"/>
        <v>17784</v>
      </c>
      <c r="CQ529">
        <f t="shared" si="487"/>
        <v>0</v>
      </c>
      <c r="CR529">
        <f>(((((ET529*16))*BB529-((EU529*16))*BS529)+AE529*BS529)*AV529)</f>
        <v>0</v>
      </c>
      <c r="CS529">
        <f t="shared" si="488"/>
        <v>0</v>
      </c>
      <c r="CT529">
        <f t="shared" si="489"/>
        <v>2964</v>
      </c>
      <c r="CU529">
        <f t="shared" si="490"/>
        <v>0</v>
      </c>
      <c r="CV529">
        <f t="shared" si="491"/>
        <v>4.8</v>
      </c>
      <c r="CW529">
        <f t="shared" si="492"/>
        <v>0</v>
      </c>
      <c r="CX529">
        <f t="shared" si="493"/>
        <v>0</v>
      </c>
      <c r="CY529">
        <f t="shared" si="494"/>
        <v>12448.8</v>
      </c>
      <c r="CZ529">
        <f t="shared" si="495"/>
        <v>1778.4</v>
      </c>
      <c r="DC529" t="s">
        <v>3</v>
      </c>
      <c r="DD529" t="s">
        <v>332</v>
      </c>
      <c r="DE529" t="s">
        <v>332</v>
      </c>
      <c r="DF529" t="s">
        <v>332</v>
      </c>
      <c r="DG529" t="s">
        <v>332</v>
      </c>
      <c r="DH529" t="s">
        <v>3</v>
      </c>
      <c r="DI529" t="s">
        <v>332</v>
      </c>
      <c r="DJ529" t="s">
        <v>332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31</v>
      </c>
      <c r="DW529" t="s">
        <v>31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19</v>
      </c>
      <c r="EH529">
        <v>0</v>
      </c>
      <c r="EI529" t="s">
        <v>3</v>
      </c>
      <c r="EJ529">
        <v>4</v>
      </c>
      <c r="EK529">
        <v>0</v>
      </c>
      <c r="EL529" t="s">
        <v>20</v>
      </c>
      <c r="EM529" t="s">
        <v>21</v>
      </c>
      <c r="EO529" t="s">
        <v>3</v>
      </c>
      <c r="EQ529">
        <v>1024</v>
      </c>
      <c r="ER529">
        <v>185.25</v>
      </c>
      <c r="ES529">
        <v>0</v>
      </c>
      <c r="ET529">
        <v>0</v>
      </c>
      <c r="EU529">
        <v>0</v>
      </c>
      <c r="EV529">
        <v>185.25</v>
      </c>
      <c r="EW529">
        <v>0.3</v>
      </c>
      <c r="EX529">
        <v>0</v>
      </c>
      <c r="EY529">
        <v>0</v>
      </c>
      <c r="FQ529">
        <v>0</v>
      </c>
      <c r="FR529">
        <f t="shared" si="496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-1881053829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497"/>
        <v>0</v>
      </c>
      <c r="GM529">
        <f t="shared" si="498"/>
        <v>32011.200000000001</v>
      </c>
      <c r="GN529">
        <f t="shared" si="499"/>
        <v>0</v>
      </c>
      <c r="GO529">
        <f t="shared" si="500"/>
        <v>0</v>
      </c>
      <c r="GP529">
        <f t="shared" si="501"/>
        <v>32011.200000000001</v>
      </c>
      <c r="GR529">
        <v>0</v>
      </c>
      <c r="GS529">
        <v>3</v>
      </c>
      <c r="GT529">
        <v>0</v>
      </c>
      <c r="GU529" t="s">
        <v>3</v>
      </c>
      <c r="GV529">
        <f t="shared" si="502"/>
        <v>0</v>
      </c>
      <c r="GW529">
        <v>1</v>
      </c>
      <c r="GX529">
        <f t="shared" si="503"/>
        <v>0</v>
      </c>
      <c r="HA529">
        <v>0</v>
      </c>
      <c r="HB529">
        <v>0</v>
      </c>
      <c r="HC529">
        <f t="shared" si="504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ROW(EtalonRes!A377)</f>
        <v>377</v>
      </c>
      <c r="E530" t="s">
        <v>499</v>
      </c>
      <c r="F530" t="s">
        <v>348</v>
      </c>
      <c r="G530" t="s">
        <v>349</v>
      </c>
      <c r="H530" t="s">
        <v>31</v>
      </c>
      <c r="I530">
        <v>1</v>
      </c>
      <c r="J530">
        <v>0</v>
      </c>
      <c r="K530">
        <v>1</v>
      </c>
      <c r="O530">
        <f t="shared" si="472"/>
        <v>338.88</v>
      </c>
      <c r="P530">
        <f t="shared" si="473"/>
        <v>1.57</v>
      </c>
      <c r="Q530">
        <f t="shared" si="474"/>
        <v>0</v>
      </c>
      <c r="R530">
        <f t="shared" si="475"/>
        <v>0</v>
      </c>
      <c r="S530">
        <f t="shared" si="476"/>
        <v>337.31</v>
      </c>
      <c r="T530">
        <f t="shared" si="477"/>
        <v>0</v>
      </c>
      <c r="U530">
        <f t="shared" si="478"/>
        <v>0.6</v>
      </c>
      <c r="V530">
        <f t="shared" si="479"/>
        <v>0</v>
      </c>
      <c r="W530">
        <f t="shared" si="480"/>
        <v>0</v>
      </c>
      <c r="X530">
        <f t="shared" si="481"/>
        <v>236.12</v>
      </c>
      <c r="Y530">
        <f t="shared" si="482"/>
        <v>33.729999999999997</v>
      </c>
      <c r="AA530">
        <v>1471988752</v>
      </c>
      <c r="AB530">
        <f t="shared" si="483"/>
        <v>338.88</v>
      </c>
      <c r="AC530">
        <f>ROUND((ES530),6)</f>
        <v>1.57</v>
      </c>
      <c r="AD530">
        <f>ROUND((((ET530)-(EU530))+AE530),6)</f>
        <v>0</v>
      </c>
      <c r="AE530">
        <f>ROUND((EU530),6)</f>
        <v>0</v>
      </c>
      <c r="AF530">
        <f>ROUND((EV530),6)</f>
        <v>337.31</v>
      </c>
      <c r="AG530">
        <f t="shared" si="484"/>
        <v>0</v>
      </c>
      <c r="AH530">
        <f>(EW530)</f>
        <v>0.6</v>
      </c>
      <c r="AI530">
        <f>(EX530)</f>
        <v>0</v>
      </c>
      <c r="AJ530">
        <f t="shared" si="485"/>
        <v>0</v>
      </c>
      <c r="AK530">
        <v>338.88</v>
      </c>
      <c r="AL530">
        <v>1.57</v>
      </c>
      <c r="AM530">
        <v>0</v>
      </c>
      <c r="AN530">
        <v>0</v>
      </c>
      <c r="AO530">
        <v>337.31</v>
      </c>
      <c r="AP530">
        <v>0</v>
      </c>
      <c r="AQ530">
        <v>0.6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350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86"/>
        <v>338.88</v>
      </c>
      <c r="CQ530">
        <f t="shared" si="487"/>
        <v>1.57</v>
      </c>
      <c r="CR530">
        <f>((((ET530)*BB530-(EU530)*BS530)+AE530*BS530)*AV530)</f>
        <v>0</v>
      </c>
      <c r="CS530">
        <f t="shared" si="488"/>
        <v>0</v>
      </c>
      <c r="CT530">
        <f t="shared" si="489"/>
        <v>337.31</v>
      </c>
      <c r="CU530">
        <f t="shared" si="490"/>
        <v>0</v>
      </c>
      <c r="CV530">
        <f t="shared" si="491"/>
        <v>0.6</v>
      </c>
      <c r="CW530">
        <f t="shared" si="492"/>
        <v>0</v>
      </c>
      <c r="CX530">
        <f t="shared" si="493"/>
        <v>0</v>
      </c>
      <c r="CY530">
        <f t="shared" si="494"/>
        <v>236.11700000000002</v>
      </c>
      <c r="CZ530">
        <f t="shared" si="495"/>
        <v>33.731000000000002</v>
      </c>
      <c r="DC530" t="s">
        <v>3</v>
      </c>
      <c r="DD530" t="s">
        <v>3</v>
      </c>
      <c r="DE530" t="s">
        <v>3</v>
      </c>
      <c r="DF530" t="s">
        <v>3</v>
      </c>
      <c r="DG530" t="s">
        <v>3</v>
      </c>
      <c r="DH530" t="s">
        <v>3</v>
      </c>
      <c r="DI530" t="s">
        <v>3</v>
      </c>
      <c r="DJ530" t="s">
        <v>3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31</v>
      </c>
      <c r="DW530" t="s">
        <v>31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19</v>
      </c>
      <c r="EH530">
        <v>0</v>
      </c>
      <c r="EI530" t="s">
        <v>3</v>
      </c>
      <c r="EJ530">
        <v>4</v>
      </c>
      <c r="EK530">
        <v>0</v>
      </c>
      <c r="EL530" t="s">
        <v>20</v>
      </c>
      <c r="EM530" t="s">
        <v>21</v>
      </c>
      <c r="EO530" t="s">
        <v>3</v>
      </c>
      <c r="EQ530">
        <v>0</v>
      </c>
      <c r="ER530">
        <v>338.88</v>
      </c>
      <c r="ES530">
        <v>1.57</v>
      </c>
      <c r="ET530">
        <v>0</v>
      </c>
      <c r="EU530">
        <v>0</v>
      </c>
      <c r="EV530">
        <v>337.31</v>
      </c>
      <c r="EW530">
        <v>0.6</v>
      </c>
      <c r="EX530">
        <v>0</v>
      </c>
      <c r="EY530">
        <v>0</v>
      </c>
      <c r="FQ530">
        <v>0</v>
      </c>
      <c r="FR530">
        <f t="shared" si="496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595984218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497"/>
        <v>0</v>
      </c>
      <c r="GM530">
        <f t="shared" si="498"/>
        <v>608.73</v>
      </c>
      <c r="GN530">
        <f t="shared" si="499"/>
        <v>0</v>
      </c>
      <c r="GO530">
        <f t="shared" si="500"/>
        <v>0</v>
      </c>
      <c r="GP530">
        <f t="shared" si="501"/>
        <v>608.73</v>
      </c>
      <c r="GR530">
        <v>0</v>
      </c>
      <c r="GS530">
        <v>3</v>
      </c>
      <c r="GT530">
        <v>0</v>
      </c>
      <c r="GU530" t="s">
        <v>3</v>
      </c>
      <c r="GV530">
        <f t="shared" si="502"/>
        <v>0</v>
      </c>
      <c r="GW530">
        <v>1</v>
      </c>
      <c r="GX530">
        <f t="shared" si="503"/>
        <v>0</v>
      </c>
      <c r="HA530">
        <v>0</v>
      </c>
      <c r="HB530">
        <v>0</v>
      </c>
      <c r="HC530">
        <f t="shared" si="504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ROW(EtalonRes!A378)</f>
        <v>378</v>
      </c>
      <c r="E531" t="s">
        <v>3</v>
      </c>
      <c r="F531" t="s">
        <v>351</v>
      </c>
      <c r="G531" t="s">
        <v>352</v>
      </c>
      <c r="H531" t="s">
        <v>31</v>
      </c>
      <c r="I531">
        <v>1</v>
      </c>
      <c r="J531">
        <v>0</v>
      </c>
      <c r="K531">
        <v>1</v>
      </c>
      <c r="O531">
        <f t="shared" si="472"/>
        <v>283.83999999999997</v>
      </c>
      <c r="P531">
        <f t="shared" si="473"/>
        <v>0</v>
      </c>
      <c r="Q531">
        <f t="shared" si="474"/>
        <v>0</v>
      </c>
      <c r="R531">
        <f t="shared" si="475"/>
        <v>0</v>
      </c>
      <c r="S531">
        <f t="shared" si="476"/>
        <v>283.83999999999997</v>
      </c>
      <c r="T531">
        <f t="shared" si="477"/>
        <v>0</v>
      </c>
      <c r="U531">
        <f t="shared" si="478"/>
        <v>0.56000000000000005</v>
      </c>
      <c r="V531">
        <f t="shared" si="479"/>
        <v>0</v>
      </c>
      <c r="W531">
        <f t="shared" si="480"/>
        <v>0</v>
      </c>
      <c r="X531">
        <f t="shared" si="481"/>
        <v>198.69</v>
      </c>
      <c r="Y531">
        <f t="shared" si="482"/>
        <v>28.38</v>
      </c>
      <c r="AA531">
        <v>-1</v>
      </c>
      <c r="AB531">
        <f t="shared" si="483"/>
        <v>283.83999999999997</v>
      </c>
      <c r="AC531">
        <f>ROUND(((ES531*4)),6)</f>
        <v>0</v>
      </c>
      <c r="AD531">
        <f>ROUND(((((ET531*4))-((EU531*4)))+AE531),6)</f>
        <v>0</v>
      </c>
      <c r="AE531">
        <f>ROUND(((EU531*4)),6)</f>
        <v>0</v>
      </c>
      <c r="AF531">
        <f>ROUND(((EV531*4)),6)</f>
        <v>283.83999999999997</v>
      </c>
      <c r="AG531">
        <f t="shared" si="484"/>
        <v>0</v>
      </c>
      <c r="AH531">
        <f>((EW531*4))</f>
        <v>0.56000000000000005</v>
      </c>
      <c r="AI531">
        <f>((EX531*4))</f>
        <v>0</v>
      </c>
      <c r="AJ531">
        <f t="shared" si="485"/>
        <v>0</v>
      </c>
      <c r="AK531">
        <v>70.959999999999994</v>
      </c>
      <c r="AL531">
        <v>0</v>
      </c>
      <c r="AM531">
        <v>0</v>
      </c>
      <c r="AN531">
        <v>0</v>
      </c>
      <c r="AO531">
        <v>70.959999999999994</v>
      </c>
      <c r="AP531">
        <v>0</v>
      </c>
      <c r="AQ531">
        <v>0.14000000000000001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353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86"/>
        <v>283.83999999999997</v>
      </c>
      <c r="CQ531">
        <f t="shared" si="487"/>
        <v>0</v>
      </c>
      <c r="CR531">
        <f>(((((ET531*4))*BB531-((EU531*4))*BS531)+AE531*BS531)*AV531)</f>
        <v>0</v>
      </c>
      <c r="CS531">
        <f t="shared" si="488"/>
        <v>0</v>
      </c>
      <c r="CT531">
        <f t="shared" si="489"/>
        <v>283.83999999999997</v>
      </c>
      <c r="CU531">
        <f t="shared" si="490"/>
        <v>0</v>
      </c>
      <c r="CV531">
        <f t="shared" si="491"/>
        <v>0.56000000000000005</v>
      </c>
      <c r="CW531">
        <f t="shared" si="492"/>
        <v>0</v>
      </c>
      <c r="CX531">
        <f t="shared" si="493"/>
        <v>0</v>
      </c>
      <c r="CY531">
        <f t="shared" si="494"/>
        <v>198.68799999999999</v>
      </c>
      <c r="CZ531">
        <f t="shared" si="495"/>
        <v>28.383999999999997</v>
      </c>
      <c r="DC531" t="s">
        <v>3</v>
      </c>
      <c r="DD531" t="s">
        <v>25</v>
      </c>
      <c r="DE531" t="s">
        <v>25</v>
      </c>
      <c r="DF531" t="s">
        <v>25</v>
      </c>
      <c r="DG531" t="s">
        <v>25</v>
      </c>
      <c r="DH531" t="s">
        <v>3</v>
      </c>
      <c r="DI531" t="s">
        <v>25</v>
      </c>
      <c r="DJ531" t="s">
        <v>25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31</v>
      </c>
      <c r="DW531" t="s">
        <v>31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19</v>
      </c>
      <c r="EH531">
        <v>0</v>
      </c>
      <c r="EI531" t="s">
        <v>3</v>
      </c>
      <c r="EJ531">
        <v>4</v>
      </c>
      <c r="EK531">
        <v>0</v>
      </c>
      <c r="EL531" t="s">
        <v>20</v>
      </c>
      <c r="EM531" t="s">
        <v>21</v>
      </c>
      <c r="EO531" t="s">
        <v>3</v>
      </c>
      <c r="EQ531">
        <v>1024</v>
      </c>
      <c r="ER531">
        <v>70.959999999999994</v>
      </c>
      <c r="ES531">
        <v>0</v>
      </c>
      <c r="ET531">
        <v>0</v>
      </c>
      <c r="EU531">
        <v>0</v>
      </c>
      <c r="EV531">
        <v>70.959999999999994</v>
      </c>
      <c r="EW531">
        <v>0.14000000000000001</v>
      </c>
      <c r="EX531">
        <v>0</v>
      </c>
      <c r="EY531">
        <v>0</v>
      </c>
      <c r="FQ531">
        <v>0</v>
      </c>
      <c r="FR531">
        <f t="shared" si="496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-1648066009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97"/>
        <v>0</v>
      </c>
      <c r="GM531">
        <f t="shared" si="498"/>
        <v>510.91</v>
      </c>
      <c r="GN531">
        <f t="shared" si="499"/>
        <v>0</v>
      </c>
      <c r="GO531">
        <f t="shared" si="500"/>
        <v>0</v>
      </c>
      <c r="GP531">
        <f t="shared" si="501"/>
        <v>510.91</v>
      </c>
      <c r="GR531">
        <v>0</v>
      </c>
      <c r="GS531">
        <v>3</v>
      </c>
      <c r="GT531">
        <v>0</v>
      </c>
      <c r="GU531" t="s">
        <v>3</v>
      </c>
      <c r="GV531">
        <f t="shared" si="502"/>
        <v>0</v>
      </c>
      <c r="GW531">
        <v>1</v>
      </c>
      <c r="GX531">
        <f t="shared" si="503"/>
        <v>0</v>
      </c>
      <c r="HA531">
        <v>0</v>
      </c>
      <c r="HB531">
        <v>0</v>
      </c>
      <c r="HC531">
        <f t="shared" si="504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ROW(EtalonRes!A379)</f>
        <v>379</v>
      </c>
      <c r="E532" t="s">
        <v>3</v>
      </c>
      <c r="F532" t="s">
        <v>354</v>
      </c>
      <c r="G532" t="s">
        <v>355</v>
      </c>
      <c r="H532" t="s">
        <v>31</v>
      </c>
      <c r="I532">
        <v>1</v>
      </c>
      <c r="J532">
        <v>0</v>
      </c>
      <c r="K532">
        <v>1</v>
      </c>
      <c r="O532">
        <f t="shared" si="472"/>
        <v>4784.8999999999996</v>
      </c>
      <c r="P532">
        <f t="shared" si="473"/>
        <v>0</v>
      </c>
      <c r="Q532">
        <f t="shared" si="474"/>
        <v>0</v>
      </c>
      <c r="R532">
        <f t="shared" si="475"/>
        <v>0</v>
      </c>
      <c r="S532">
        <f t="shared" si="476"/>
        <v>4784.8999999999996</v>
      </c>
      <c r="T532">
        <f t="shared" si="477"/>
        <v>0</v>
      </c>
      <c r="U532">
        <f t="shared" si="478"/>
        <v>9.44</v>
      </c>
      <c r="V532">
        <f t="shared" si="479"/>
        <v>0</v>
      </c>
      <c r="W532">
        <f t="shared" si="480"/>
        <v>0</v>
      </c>
      <c r="X532">
        <f t="shared" si="481"/>
        <v>3349.43</v>
      </c>
      <c r="Y532">
        <f t="shared" si="482"/>
        <v>478.49</v>
      </c>
      <c r="AA532">
        <v>-1</v>
      </c>
      <c r="AB532">
        <f t="shared" si="483"/>
        <v>4784.8999999999996</v>
      </c>
      <c r="AC532">
        <f>ROUND(((ES532*118)),6)</f>
        <v>0</v>
      </c>
      <c r="AD532">
        <f>ROUND(((((ET532*118))-((EU532*118)))+AE532),6)</f>
        <v>0</v>
      </c>
      <c r="AE532">
        <f>ROUND(((EU532*118)),6)</f>
        <v>0</v>
      </c>
      <c r="AF532">
        <f>ROUND(((EV532*118)),6)</f>
        <v>4784.8999999999996</v>
      </c>
      <c r="AG532">
        <f t="shared" si="484"/>
        <v>0</v>
      </c>
      <c r="AH532">
        <f>((EW532*118))</f>
        <v>9.44</v>
      </c>
      <c r="AI532">
        <f>((EX532*118))</f>
        <v>0</v>
      </c>
      <c r="AJ532">
        <f t="shared" si="485"/>
        <v>0</v>
      </c>
      <c r="AK532">
        <v>40.549999999999997</v>
      </c>
      <c r="AL532">
        <v>0</v>
      </c>
      <c r="AM532">
        <v>0</v>
      </c>
      <c r="AN532">
        <v>0</v>
      </c>
      <c r="AO532">
        <v>40.549999999999997</v>
      </c>
      <c r="AP532">
        <v>0</v>
      </c>
      <c r="AQ532">
        <v>0.08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356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86"/>
        <v>4784.8999999999996</v>
      </c>
      <c r="CQ532">
        <f t="shared" si="487"/>
        <v>0</v>
      </c>
      <c r="CR532">
        <f>(((((ET532*118))*BB532-((EU532*118))*BS532)+AE532*BS532)*AV532)</f>
        <v>0</v>
      </c>
      <c r="CS532">
        <f t="shared" si="488"/>
        <v>0</v>
      </c>
      <c r="CT532">
        <f t="shared" si="489"/>
        <v>4784.8999999999996</v>
      </c>
      <c r="CU532">
        <f t="shared" si="490"/>
        <v>0</v>
      </c>
      <c r="CV532">
        <f t="shared" si="491"/>
        <v>9.44</v>
      </c>
      <c r="CW532">
        <f t="shared" si="492"/>
        <v>0</v>
      </c>
      <c r="CX532">
        <f t="shared" si="493"/>
        <v>0</v>
      </c>
      <c r="CY532">
        <f t="shared" si="494"/>
        <v>3349.43</v>
      </c>
      <c r="CZ532">
        <f t="shared" si="495"/>
        <v>478.49</v>
      </c>
      <c r="DC532" t="s">
        <v>3</v>
      </c>
      <c r="DD532" t="s">
        <v>357</v>
      </c>
      <c r="DE532" t="s">
        <v>357</v>
      </c>
      <c r="DF532" t="s">
        <v>357</v>
      </c>
      <c r="DG532" t="s">
        <v>357</v>
      </c>
      <c r="DH532" t="s">
        <v>3</v>
      </c>
      <c r="DI532" t="s">
        <v>357</v>
      </c>
      <c r="DJ532" t="s">
        <v>357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31</v>
      </c>
      <c r="DW532" t="s">
        <v>31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19</v>
      </c>
      <c r="EH532">
        <v>0</v>
      </c>
      <c r="EI532" t="s">
        <v>3</v>
      </c>
      <c r="EJ532">
        <v>4</v>
      </c>
      <c r="EK532">
        <v>0</v>
      </c>
      <c r="EL532" t="s">
        <v>20</v>
      </c>
      <c r="EM532" t="s">
        <v>21</v>
      </c>
      <c r="EO532" t="s">
        <v>3</v>
      </c>
      <c r="EQ532">
        <v>1311744</v>
      </c>
      <c r="ER532">
        <v>40.549999999999997</v>
      </c>
      <c r="ES532">
        <v>0</v>
      </c>
      <c r="ET532">
        <v>0</v>
      </c>
      <c r="EU532">
        <v>0</v>
      </c>
      <c r="EV532">
        <v>40.549999999999997</v>
      </c>
      <c r="EW532">
        <v>0.08</v>
      </c>
      <c r="EX532">
        <v>0</v>
      </c>
      <c r="EY532">
        <v>0</v>
      </c>
      <c r="FQ532">
        <v>0</v>
      </c>
      <c r="FR532">
        <f t="shared" si="496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-760003618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97"/>
        <v>0</v>
      </c>
      <c r="GM532">
        <f t="shared" si="498"/>
        <v>8612.82</v>
      </c>
      <c r="GN532">
        <f t="shared" si="499"/>
        <v>0</v>
      </c>
      <c r="GO532">
        <f t="shared" si="500"/>
        <v>0</v>
      </c>
      <c r="GP532">
        <f t="shared" si="501"/>
        <v>8612.82</v>
      </c>
      <c r="GR532">
        <v>0</v>
      </c>
      <c r="GS532">
        <v>3</v>
      </c>
      <c r="GT532">
        <v>0</v>
      </c>
      <c r="GU532" t="s">
        <v>3</v>
      </c>
      <c r="GV532">
        <f t="shared" si="502"/>
        <v>0</v>
      </c>
      <c r="GW532">
        <v>1</v>
      </c>
      <c r="GX532">
        <f t="shared" si="503"/>
        <v>0</v>
      </c>
      <c r="HA532">
        <v>0</v>
      </c>
      <c r="HB532">
        <v>0</v>
      </c>
      <c r="HC532">
        <f t="shared" si="504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4" spans="1:245" x14ac:dyDescent="0.2">
      <c r="A534" s="2">
        <v>51</v>
      </c>
      <c r="B534" s="2">
        <f>B520</f>
        <v>1</v>
      </c>
      <c r="C534" s="2">
        <f>A520</f>
        <v>5</v>
      </c>
      <c r="D534" s="2">
        <f>ROW(A520)</f>
        <v>520</v>
      </c>
      <c r="E534" s="2"/>
      <c r="F534" s="2" t="str">
        <f>IF(F520&lt;&gt;"",F520,"")</f>
        <v>Новый подраздел</v>
      </c>
      <c r="G534" s="2" t="str">
        <f>IF(G520&lt;&gt;"",G520,"")</f>
        <v>4.6  Щитовое оборудование</v>
      </c>
      <c r="H534" s="2">
        <v>0</v>
      </c>
      <c r="I534" s="2"/>
      <c r="J534" s="2"/>
      <c r="K534" s="2"/>
      <c r="L534" s="2"/>
      <c r="M534" s="2"/>
      <c r="N534" s="2"/>
      <c r="O534" s="2">
        <f t="shared" ref="O534:T534" si="505">ROUND(AB534,2)</f>
        <v>327138.84999999998</v>
      </c>
      <c r="P534" s="2">
        <f t="shared" si="505"/>
        <v>4471.76</v>
      </c>
      <c r="Q534" s="2">
        <f t="shared" si="505"/>
        <v>0</v>
      </c>
      <c r="R534" s="2">
        <f t="shared" si="505"/>
        <v>0</v>
      </c>
      <c r="S534" s="2">
        <f t="shared" si="505"/>
        <v>322667.09000000003</v>
      </c>
      <c r="T534" s="2">
        <f t="shared" si="505"/>
        <v>0</v>
      </c>
      <c r="U534" s="2">
        <f>AH534</f>
        <v>522.6</v>
      </c>
      <c r="V534" s="2">
        <f>AI534</f>
        <v>0</v>
      </c>
      <c r="W534" s="2">
        <f>ROUND(AJ534,2)</f>
        <v>0</v>
      </c>
      <c r="X534" s="2">
        <f>ROUND(AK534,2)</f>
        <v>225866.96</v>
      </c>
      <c r="Y534" s="2">
        <f>ROUND(AL534,2)</f>
        <v>32266.71</v>
      </c>
      <c r="Z534" s="2"/>
      <c r="AA534" s="2"/>
      <c r="AB534" s="2">
        <f>ROUND(SUMIF(AA524:AA532,"=1471988752",O524:O532),2)</f>
        <v>327138.84999999998</v>
      </c>
      <c r="AC534" s="2">
        <f>ROUND(SUMIF(AA524:AA532,"=1471988752",P524:P532),2)</f>
        <v>4471.76</v>
      </c>
      <c r="AD534" s="2">
        <f>ROUND(SUMIF(AA524:AA532,"=1471988752",Q524:Q532),2)</f>
        <v>0</v>
      </c>
      <c r="AE534" s="2">
        <f>ROUND(SUMIF(AA524:AA532,"=1471988752",R524:R532),2)</f>
        <v>0</v>
      </c>
      <c r="AF534" s="2">
        <f>ROUND(SUMIF(AA524:AA532,"=1471988752",S524:S532),2)</f>
        <v>322667.09000000003</v>
      </c>
      <c r="AG534" s="2">
        <f>ROUND(SUMIF(AA524:AA532,"=1471988752",T524:T532),2)</f>
        <v>0</v>
      </c>
      <c r="AH534" s="2">
        <f>SUMIF(AA524:AA532,"=1471988752",U524:U532)</f>
        <v>522.6</v>
      </c>
      <c r="AI534" s="2">
        <f>SUMIF(AA524:AA532,"=1471988752",V524:V532)</f>
        <v>0</v>
      </c>
      <c r="AJ534" s="2">
        <f>ROUND(SUMIF(AA524:AA532,"=1471988752",W524:W532),2)</f>
        <v>0</v>
      </c>
      <c r="AK534" s="2">
        <f>ROUND(SUMIF(AA524:AA532,"=1471988752",X524:X532),2)</f>
        <v>225866.96</v>
      </c>
      <c r="AL534" s="2">
        <f>ROUND(SUMIF(AA524:AA532,"=1471988752",Y524:Y532),2)</f>
        <v>32266.71</v>
      </c>
      <c r="AM534" s="2"/>
      <c r="AN534" s="2"/>
      <c r="AO534" s="2">
        <f t="shared" ref="AO534:BD534" si="506">ROUND(BX534,2)</f>
        <v>0</v>
      </c>
      <c r="AP534" s="2">
        <f t="shared" si="506"/>
        <v>0</v>
      </c>
      <c r="AQ534" s="2">
        <f t="shared" si="506"/>
        <v>0</v>
      </c>
      <c r="AR534" s="2">
        <f t="shared" si="506"/>
        <v>585272.52</v>
      </c>
      <c r="AS534" s="2">
        <f t="shared" si="506"/>
        <v>0</v>
      </c>
      <c r="AT534" s="2">
        <f t="shared" si="506"/>
        <v>0</v>
      </c>
      <c r="AU534" s="2">
        <f t="shared" si="506"/>
        <v>585272.52</v>
      </c>
      <c r="AV534" s="2">
        <f t="shared" si="506"/>
        <v>4471.76</v>
      </c>
      <c r="AW534" s="2">
        <f t="shared" si="506"/>
        <v>4471.76</v>
      </c>
      <c r="AX534" s="2">
        <f t="shared" si="506"/>
        <v>0</v>
      </c>
      <c r="AY534" s="2">
        <f t="shared" si="506"/>
        <v>4471.76</v>
      </c>
      <c r="AZ534" s="2">
        <f t="shared" si="506"/>
        <v>0</v>
      </c>
      <c r="BA534" s="2">
        <f t="shared" si="506"/>
        <v>0</v>
      </c>
      <c r="BB534" s="2">
        <f t="shared" si="506"/>
        <v>0</v>
      </c>
      <c r="BC534" s="2">
        <f t="shared" si="506"/>
        <v>0</v>
      </c>
      <c r="BD534" s="2">
        <f t="shared" si="506"/>
        <v>0</v>
      </c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>
        <f>ROUND(SUMIF(AA524:AA532,"=1471988752",FQ524:FQ532),2)</f>
        <v>0</v>
      </c>
      <c r="BY534" s="2">
        <f>ROUND(SUMIF(AA524:AA532,"=1471988752",FR524:FR532),2)</f>
        <v>0</v>
      </c>
      <c r="BZ534" s="2">
        <f>ROUND(SUMIF(AA524:AA532,"=1471988752",GL524:GL532),2)</f>
        <v>0</v>
      </c>
      <c r="CA534" s="2">
        <f>ROUND(SUMIF(AA524:AA532,"=1471988752",GM524:GM532),2)</f>
        <v>585272.52</v>
      </c>
      <c r="CB534" s="2">
        <f>ROUND(SUMIF(AA524:AA532,"=1471988752",GN524:GN532),2)</f>
        <v>0</v>
      </c>
      <c r="CC534" s="2">
        <f>ROUND(SUMIF(AA524:AA532,"=1471988752",GO524:GO532),2)</f>
        <v>0</v>
      </c>
      <c r="CD534" s="2">
        <f>ROUND(SUMIF(AA524:AA532,"=1471988752",GP524:GP532),2)</f>
        <v>585272.52</v>
      </c>
      <c r="CE534" s="2">
        <f>AC534-BX534</f>
        <v>4471.76</v>
      </c>
      <c r="CF534" s="2">
        <f>AC534-BY534</f>
        <v>4471.76</v>
      </c>
      <c r="CG534" s="2">
        <f>BX534-BZ534</f>
        <v>0</v>
      </c>
      <c r="CH534" s="2">
        <f>AC534-BX534-BY534+BZ534</f>
        <v>4471.76</v>
      </c>
      <c r="CI534" s="2">
        <f>BY534-BZ534</f>
        <v>0</v>
      </c>
      <c r="CJ534" s="2">
        <f>ROUND(SUMIF(AA524:AA532,"=1471988752",GX524:GX532),2)</f>
        <v>0</v>
      </c>
      <c r="CK534" s="2">
        <f>ROUND(SUMIF(AA524:AA532,"=1471988752",GY524:GY532),2)</f>
        <v>0</v>
      </c>
      <c r="CL534" s="2">
        <f>ROUND(SUMIF(AA524:AA532,"=1471988752",GZ524:GZ532),2)</f>
        <v>0</v>
      </c>
      <c r="CM534" s="2">
        <f>ROUND(SUMIF(AA524:AA532,"=1471988752",HD524:HD532),2)</f>
        <v>0</v>
      </c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3"/>
      <c r="DH534" s="3"/>
      <c r="DI534" s="3"/>
      <c r="DJ534" s="3"/>
      <c r="DK534" s="3"/>
      <c r="DL534" s="3"/>
      <c r="DM534" s="3"/>
      <c r="DN534" s="3"/>
      <c r="DO534" s="3"/>
      <c r="DP534" s="3"/>
      <c r="DQ534" s="3"/>
      <c r="DR534" s="3"/>
      <c r="DS534" s="3"/>
      <c r="DT534" s="3"/>
      <c r="DU534" s="3"/>
      <c r="DV534" s="3"/>
      <c r="DW534" s="3"/>
      <c r="DX534" s="3"/>
      <c r="DY534" s="3"/>
      <c r="DZ534" s="3"/>
      <c r="EA534" s="3"/>
      <c r="EB534" s="3"/>
      <c r="EC534" s="3"/>
      <c r="ED534" s="3"/>
      <c r="EE534" s="3"/>
      <c r="EF534" s="3"/>
      <c r="EG534" s="3"/>
      <c r="EH534" s="3"/>
      <c r="EI534" s="3"/>
      <c r="EJ534" s="3"/>
      <c r="EK534" s="3"/>
      <c r="EL534" s="3"/>
      <c r="EM534" s="3"/>
      <c r="EN534" s="3"/>
      <c r="EO534" s="3"/>
      <c r="EP534" s="3"/>
      <c r="EQ534" s="3"/>
      <c r="ER534" s="3"/>
      <c r="ES534" s="3"/>
      <c r="ET534" s="3"/>
      <c r="EU534" s="3"/>
      <c r="EV534" s="3"/>
      <c r="EW534" s="3"/>
      <c r="EX534" s="3"/>
      <c r="EY534" s="3"/>
      <c r="EZ534" s="3"/>
      <c r="FA534" s="3"/>
      <c r="FB534" s="3"/>
      <c r="FC534" s="3"/>
      <c r="FD534" s="3"/>
      <c r="FE534" s="3"/>
      <c r="FF534" s="3"/>
      <c r="FG534" s="3"/>
      <c r="FH534" s="3"/>
      <c r="FI534" s="3"/>
      <c r="FJ534" s="3"/>
      <c r="FK534" s="3"/>
      <c r="FL534" s="3"/>
      <c r="FM534" s="3"/>
      <c r="FN534" s="3"/>
      <c r="FO534" s="3"/>
      <c r="FP534" s="3"/>
      <c r="FQ534" s="3"/>
      <c r="FR534" s="3"/>
      <c r="FS534" s="3"/>
      <c r="FT534" s="3"/>
      <c r="FU534" s="3"/>
      <c r="FV534" s="3"/>
      <c r="FW534" s="3"/>
      <c r="FX534" s="3"/>
      <c r="FY534" s="3"/>
      <c r="FZ534" s="3"/>
      <c r="GA534" s="3"/>
      <c r="GB534" s="3"/>
      <c r="GC534" s="3"/>
      <c r="GD534" s="3"/>
      <c r="GE534" s="3"/>
      <c r="GF534" s="3"/>
      <c r="GG534" s="3"/>
      <c r="GH534" s="3"/>
      <c r="GI534" s="3"/>
      <c r="GJ534" s="3"/>
      <c r="GK534" s="3"/>
      <c r="GL534" s="3"/>
      <c r="GM534" s="3"/>
      <c r="GN534" s="3"/>
      <c r="GO534" s="3"/>
      <c r="GP534" s="3"/>
      <c r="GQ534" s="3"/>
      <c r="GR534" s="3"/>
      <c r="GS534" s="3"/>
      <c r="GT534" s="3"/>
      <c r="GU534" s="3"/>
      <c r="GV534" s="3"/>
      <c r="GW534" s="3"/>
      <c r="GX534" s="3">
        <v>0</v>
      </c>
    </row>
    <row r="536" spans="1:245" x14ac:dyDescent="0.2">
      <c r="A536" s="4">
        <v>50</v>
      </c>
      <c r="B536" s="4">
        <v>0</v>
      </c>
      <c r="C536" s="4">
        <v>0</v>
      </c>
      <c r="D536" s="4">
        <v>1</v>
      </c>
      <c r="E536" s="4">
        <v>201</v>
      </c>
      <c r="F536" s="4">
        <f>ROUND(Source!O534,O536)</f>
        <v>327138.84999999998</v>
      </c>
      <c r="G536" s="4" t="s">
        <v>45</v>
      </c>
      <c r="H536" s="4" t="s">
        <v>46</v>
      </c>
      <c r="I536" s="4"/>
      <c r="J536" s="4"/>
      <c r="K536" s="4">
        <v>201</v>
      </c>
      <c r="L536" s="4">
        <v>1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327138.84999999998</v>
      </c>
      <c r="X536" s="4">
        <v>1</v>
      </c>
      <c r="Y536" s="4">
        <v>327138.84999999998</v>
      </c>
      <c r="Z536" s="4"/>
      <c r="AA536" s="4"/>
      <c r="AB536" s="4"/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202</v>
      </c>
      <c r="F537" s="4">
        <f>ROUND(Source!P534,O537)</f>
        <v>4471.76</v>
      </c>
      <c r="G537" s="4" t="s">
        <v>47</v>
      </c>
      <c r="H537" s="4" t="s">
        <v>48</v>
      </c>
      <c r="I537" s="4"/>
      <c r="J537" s="4"/>
      <c r="K537" s="4">
        <v>202</v>
      </c>
      <c r="L537" s="4">
        <v>2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4471.76</v>
      </c>
      <c r="X537" s="4">
        <v>1</v>
      </c>
      <c r="Y537" s="4">
        <v>4471.76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222</v>
      </c>
      <c r="F538" s="4">
        <f>ROUND(Source!AO534,O538)</f>
        <v>0</v>
      </c>
      <c r="G538" s="4" t="s">
        <v>49</v>
      </c>
      <c r="H538" s="4" t="s">
        <v>50</v>
      </c>
      <c r="I538" s="4"/>
      <c r="J538" s="4"/>
      <c r="K538" s="4">
        <v>222</v>
      </c>
      <c r="L538" s="4">
        <v>3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225</v>
      </c>
      <c r="F539" s="4">
        <f>ROUND(Source!AV534,O539)</f>
        <v>4471.76</v>
      </c>
      <c r="G539" s="4" t="s">
        <v>51</v>
      </c>
      <c r="H539" s="4" t="s">
        <v>52</v>
      </c>
      <c r="I539" s="4"/>
      <c r="J539" s="4"/>
      <c r="K539" s="4">
        <v>225</v>
      </c>
      <c r="L539" s="4">
        <v>4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4471.76</v>
      </c>
      <c r="X539" s="4">
        <v>1</v>
      </c>
      <c r="Y539" s="4">
        <v>4471.76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226</v>
      </c>
      <c r="F540" s="4">
        <f>ROUND(Source!AW534,O540)</f>
        <v>4471.76</v>
      </c>
      <c r="G540" s="4" t="s">
        <v>53</v>
      </c>
      <c r="H540" s="4" t="s">
        <v>54</v>
      </c>
      <c r="I540" s="4"/>
      <c r="J540" s="4"/>
      <c r="K540" s="4">
        <v>226</v>
      </c>
      <c r="L540" s="4">
        <v>5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4471.76</v>
      </c>
      <c r="X540" s="4">
        <v>1</v>
      </c>
      <c r="Y540" s="4">
        <v>4471.76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227</v>
      </c>
      <c r="F541" s="4">
        <f>ROUND(Source!AX534,O541)</f>
        <v>0</v>
      </c>
      <c r="G541" s="4" t="s">
        <v>55</v>
      </c>
      <c r="H541" s="4" t="s">
        <v>56</v>
      </c>
      <c r="I541" s="4"/>
      <c r="J541" s="4"/>
      <c r="K541" s="4">
        <v>227</v>
      </c>
      <c r="L541" s="4">
        <v>6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228</v>
      </c>
      <c r="F542" s="4">
        <f>ROUND(Source!AY534,O542)</f>
        <v>4471.76</v>
      </c>
      <c r="G542" s="4" t="s">
        <v>57</v>
      </c>
      <c r="H542" s="4" t="s">
        <v>58</v>
      </c>
      <c r="I542" s="4"/>
      <c r="J542" s="4"/>
      <c r="K542" s="4">
        <v>228</v>
      </c>
      <c r="L542" s="4">
        <v>7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4471.76</v>
      </c>
      <c r="X542" s="4">
        <v>1</v>
      </c>
      <c r="Y542" s="4">
        <v>4471.76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216</v>
      </c>
      <c r="F543" s="4">
        <f>ROUND(Source!AP534,O543)</f>
        <v>0</v>
      </c>
      <c r="G543" s="4" t="s">
        <v>59</v>
      </c>
      <c r="H543" s="4" t="s">
        <v>60</v>
      </c>
      <c r="I543" s="4"/>
      <c r="J543" s="4"/>
      <c r="K543" s="4">
        <v>216</v>
      </c>
      <c r="L543" s="4">
        <v>8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223</v>
      </c>
      <c r="F544" s="4">
        <f>ROUND(Source!AQ534,O544)</f>
        <v>0</v>
      </c>
      <c r="G544" s="4" t="s">
        <v>61</v>
      </c>
      <c r="H544" s="4" t="s">
        <v>62</v>
      </c>
      <c r="I544" s="4"/>
      <c r="J544" s="4"/>
      <c r="K544" s="4">
        <v>223</v>
      </c>
      <c r="L544" s="4">
        <v>9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229</v>
      </c>
      <c r="F545" s="4">
        <f>ROUND(Source!AZ534,O545)</f>
        <v>0</v>
      </c>
      <c r="G545" s="4" t="s">
        <v>63</v>
      </c>
      <c r="H545" s="4" t="s">
        <v>64</v>
      </c>
      <c r="I545" s="4"/>
      <c r="J545" s="4"/>
      <c r="K545" s="4">
        <v>229</v>
      </c>
      <c r="L545" s="4">
        <v>10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203</v>
      </c>
      <c r="F546" s="4">
        <f>ROUND(Source!Q534,O546)</f>
        <v>0</v>
      </c>
      <c r="G546" s="4" t="s">
        <v>65</v>
      </c>
      <c r="H546" s="4" t="s">
        <v>66</v>
      </c>
      <c r="I546" s="4"/>
      <c r="J546" s="4"/>
      <c r="K546" s="4">
        <v>203</v>
      </c>
      <c r="L546" s="4">
        <v>11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231</v>
      </c>
      <c r="F547" s="4">
        <f>ROUND(Source!BB534,O547)</f>
        <v>0</v>
      </c>
      <c r="G547" s="4" t="s">
        <v>67</v>
      </c>
      <c r="H547" s="4" t="s">
        <v>68</v>
      </c>
      <c r="I547" s="4"/>
      <c r="J547" s="4"/>
      <c r="K547" s="4">
        <v>231</v>
      </c>
      <c r="L547" s="4">
        <v>12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204</v>
      </c>
      <c r="F548" s="4">
        <f>ROUND(Source!R534,O548)</f>
        <v>0</v>
      </c>
      <c r="G548" s="4" t="s">
        <v>69</v>
      </c>
      <c r="H548" s="4" t="s">
        <v>70</v>
      </c>
      <c r="I548" s="4"/>
      <c r="J548" s="4"/>
      <c r="K548" s="4">
        <v>204</v>
      </c>
      <c r="L548" s="4">
        <v>13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205</v>
      </c>
      <c r="F549" s="4">
        <f>ROUND(Source!S534,O549)</f>
        <v>322667.09000000003</v>
      </c>
      <c r="G549" s="4" t="s">
        <v>71</v>
      </c>
      <c r="H549" s="4" t="s">
        <v>72</v>
      </c>
      <c r="I549" s="4"/>
      <c r="J549" s="4"/>
      <c r="K549" s="4">
        <v>205</v>
      </c>
      <c r="L549" s="4">
        <v>14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322667.09000000003</v>
      </c>
      <c r="X549" s="4">
        <v>1</v>
      </c>
      <c r="Y549" s="4">
        <v>322667.09000000003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232</v>
      </c>
      <c r="F550" s="4">
        <f>ROUND(Source!BC534,O550)</f>
        <v>0</v>
      </c>
      <c r="G550" s="4" t="s">
        <v>73</v>
      </c>
      <c r="H550" s="4" t="s">
        <v>74</v>
      </c>
      <c r="I550" s="4"/>
      <c r="J550" s="4"/>
      <c r="K550" s="4">
        <v>232</v>
      </c>
      <c r="L550" s="4">
        <v>15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214</v>
      </c>
      <c r="F551" s="4">
        <f>ROUND(Source!AS534,O551)</f>
        <v>0</v>
      </c>
      <c r="G551" s="4" t="s">
        <v>75</v>
      </c>
      <c r="H551" s="4" t="s">
        <v>76</v>
      </c>
      <c r="I551" s="4"/>
      <c r="J551" s="4"/>
      <c r="K551" s="4">
        <v>214</v>
      </c>
      <c r="L551" s="4">
        <v>16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215</v>
      </c>
      <c r="F552" s="4">
        <f>ROUND(Source!AT534,O552)</f>
        <v>0</v>
      </c>
      <c r="G552" s="4" t="s">
        <v>77</v>
      </c>
      <c r="H552" s="4" t="s">
        <v>78</v>
      </c>
      <c r="I552" s="4"/>
      <c r="J552" s="4"/>
      <c r="K552" s="4">
        <v>215</v>
      </c>
      <c r="L552" s="4">
        <v>17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217</v>
      </c>
      <c r="F553" s="4">
        <f>ROUND(Source!AU534,O553)</f>
        <v>585272.52</v>
      </c>
      <c r="G553" s="4" t="s">
        <v>79</v>
      </c>
      <c r="H553" s="4" t="s">
        <v>80</v>
      </c>
      <c r="I553" s="4"/>
      <c r="J553" s="4"/>
      <c r="K553" s="4">
        <v>217</v>
      </c>
      <c r="L553" s="4">
        <v>18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585272.52</v>
      </c>
      <c r="X553" s="4">
        <v>1</v>
      </c>
      <c r="Y553" s="4">
        <v>585272.52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230</v>
      </c>
      <c r="F554" s="4">
        <f>ROUND(Source!BA534,O554)</f>
        <v>0</v>
      </c>
      <c r="G554" s="4" t="s">
        <v>81</v>
      </c>
      <c r="H554" s="4" t="s">
        <v>82</v>
      </c>
      <c r="I554" s="4"/>
      <c r="J554" s="4"/>
      <c r="K554" s="4">
        <v>230</v>
      </c>
      <c r="L554" s="4">
        <v>19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206</v>
      </c>
      <c r="F555" s="4">
        <f>ROUND(Source!T534,O555)</f>
        <v>0</v>
      </c>
      <c r="G555" s="4" t="s">
        <v>83</v>
      </c>
      <c r="H555" s="4" t="s">
        <v>84</v>
      </c>
      <c r="I555" s="4"/>
      <c r="J555" s="4"/>
      <c r="K555" s="4">
        <v>206</v>
      </c>
      <c r="L555" s="4">
        <v>20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207</v>
      </c>
      <c r="F556" s="4">
        <f>Source!U534</f>
        <v>522.6</v>
      </c>
      <c r="G556" s="4" t="s">
        <v>85</v>
      </c>
      <c r="H556" s="4" t="s">
        <v>86</v>
      </c>
      <c r="I556" s="4"/>
      <c r="J556" s="4"/>
      <c r="K556" s="4">
        <v>207</v>
      </c>
      <c r="L556" s="4">
        <v>21</v>
      </c>
      <c r="M556" s="4">
        <v>3</v>
      </c>
      <c r="N556" s="4" t="s">
        <v>3</v>
      </c>
      <c r="O556" s="4">
        <v>-1</v>
      </c>
      <c r="P556" s="4"/>
      <c r="Q556" s="4"/>
      <c r="R556" s="4"/>
      <c r="S556" s="4"/>
      <c r="T556" s="4"/>
      <c r="U556" s="4"/>
      <c r="V556" s="4"/>
      <c r="W556" s="4">
        <v>522.6</v>
      </c>
      <c r="X556" s="4">
        <v>1</v>
      </c>
      <c r="Y556" s="4">
        <v>522.6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208</v>
      </c>
      <c r="F557" s="4">
        <f>Source!V534</f>
        <v>0</v>
      </c>
      <c r="G557" s="4" t="s">
        <v>87</v>
      </c>
      <c r="H557" s="4" t="s">
        <v>88</v>
      </c>
      <c r="I557" s="4"/>
      <c r="J557" s="4"/>
      <c r="K557" s="4">
        <v>208</v>
      </c>
      <c r="L557" s="4">
        <v>22</v>
      </c>
      <c r="M557" s="4">
        <v>3</v>
      </c>
      <c r="N557" s="4" t="s">
        <v>3</v>
      </c>
      <c r="O557" s="4">
        <v>-1</v>
      </c>
      <c r="P557" s="4"/>
      <c r="Q557" s="4"/>
      <c r="R557" s="4"/>
      <c r="S557" s="4"/>
      <c r="T557" s="4"/>
      <c r="U557" s="4"/>
      <c r="V557" s="4"/>
      <c r="W557" s="4">
        <v>0</v>
      </c>
      <c r="X557" s="4">
        <v>1</v>
      </c>
      <c r="Y557" s="4">
        <v>0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209</v>
      </c>
      <c r="F558" s="4">
        <f>ROUND(Source!W534,O558)</f>
        <v>0</v>
      </c>
      <c r="G558" s="4" t="s">
        <v>89</v>
      </c>
      <c r="H558" s="4" t="s">
        <v>90</v>
      </c>
      <c r="I558" s="4"/>
      <c r="J558" s="4"/>
      <c r="K558" s="4">
        <v>209</v>
      </c>
      <c r="L558" s="4">
        <v>23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233</v>
      </c>
      <c r="F559" s="4">
        <f>ROUND(Source!BD534,O559)</f>
        <v>0</v>
      </c>
      <c r="G559" s="4" t="s">
        <v>91</v>
      </c>
      <c r="H559" s="4" t="s">
        <v>92</v>
      </c>
      <c r="I559" s="4"/>
      <c r="J559" s="4"/>
      <c r="K559" s="4">
        <v>233</v>
      </c>
      <c r="L559" s="4">
        <v>24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210</v>
      </c>
      <c r="F560" s="4">
        <f>ROUND(Source!X534,O560)</f>
        <v>225866.96</v>
      </c>
      <c r="G560" s="4" t="s">
        <v>93</v>
      </c>
      <c r="H560" s="4" t="s">
        <v>94</v>
      </c>
      <c r="I560" s="4"/>
      <c r="J560" s="4"/>
      <c r="K560" s="4">
        <v>210</v>
      </c>
      <c r="L560" s="4">
        <v>25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225866.96</v>
      </c>
      <c r="X560" s="4">
        <v>1</v>
      </c>
      <c r="Y560" s="4">
        <v>225866.96</v>
      </c>
      <c r="Z560" s="4"/>
      <c r="AA560" s="4"/>
      <c r="AB560" s="4"/>
    </row>
    <row r="561" spans="1:206" x14ac:dyDescent="0.2">
      <c r="A561" s="4">
        <v>50</v>
      </c>
      <c r="B561" s="4">
        <v>0</v>
      </c>
      <c r="C561" s="4">
        <v>0</v>
      </c>
      <c r="D561" s="4">
        <v>1</v>
      </c>
      <c r="E561" s="4">
        <v>211</v>
      </c>
      <c r="F561" s="4">
        <f>ROUND(Source!Y534,O561)</f>
        <v>32266.71</v>
      </c>
      <c r="G561" s="4" t="s">
        <v>95</v>
      </c>
      <c r="H561" s="4" t="s">
        <v>96</v>
      </c>
      <c r="I561" s="4"/>
      <c r="J561" s="4"/>
      <c r="K561" s="4">
        <v>211</v>
      </c>
      <c r="L561" s="4">
        <v>26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32266.71</v>
      </c>
      <c r="X561" s="4">
        <v>1</v>
      </c>
      <c r="Y561" s="4">
        <v>32266.71</v>
      </c>
      <c r="Z561" s="4"/>
      <c r="AA561" s="4"/>
      <c r="AB561" s="4"/>
    </row>
    <row r="562" spans="1:206" x14ac:dyDescent="0.2">
      <c r="A562" s="4">
        <v>50</v>
      </c>
      <c r="B562" s="4">
        <v>0</v>
      </c>
      <c r="C562" s="4">
        <v>0</v>
      </c>
      <c r="D562" s="4">
        <v>1</v>
      </c>
      <c r="E562" s="4">
        <v>224</v>
      </c>
      <c r="F562" s="4">
        <f>ROUND(Source!AR534,O562)</f>
        <v>585272.52</v>
      </c>
      <c r="G562" s="4" t="s">
        <v>97</v>
      </c>
      <c r="H562" s="4" t="s">
        <v>98</v>
      </c>
      <c r="I562" s="4"/>
      <c r="J562" s="4"/>
      <c r="K562" s="4">
        <v>224</v>
      </c>
      <c r="L562" s="4">
        <v>27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585272.52</v>
      </c>
      <c r="X562" s="4">
        <v>1</v>
      </c>
      <c r="Y562" s="4">
        <v>585272.52</v>
      </c>
      <c r="Z562" s="4"/>
      <c r="AA562" s="4"/>
      <c r="AB562" s="4"/>
    </row>
    <row r="564" spans="1:206" x14ac:dyDescent="0.2">
      <c r="A564" s="2">
        <v>51</v>
      </c>
      <c r="B564" s="2">
        <f>B292</f>
        <v>1</v>
      </c>
      <c r="C564" s="2">
        <f>A292</f>
        <v>4</v>
      </c>
      <c r="D564" s="2">
        <f>ROW(A292)</f>
        <v>292</v>
      </c>
      <c r="E564" s="2"/>
      <c r="F564" s="2" t="str">
        <f>IF(F292&lt;&gt;"",F292,"")</f>
        <v>Новый раздел</v>
      </c>
      <c r="G564" s="2" t="str">
        <f>IF(G292&lt;&gt;"",G292,"")</f>
        <v>Раздел: 4. Электроосвещение и электрооборудование</v>
      </c>
      <c r="H564" s="2">
        <v>0</v>
      </c>
      <c r="I564" s="2"/>
      <c r="J564" s="2"/>
      <c r="K564" s="2"/>
      <c r="L564" s="2"/>
      <c r="M564" s="2"/>
      <c r="N564" s="2"/>
      <c r="O564" s="2">
        <f t="shared" ref="O564:T564" si="507">ROUND(O319+O356+O397+O451+O490+O534+AB564,2)</f>
        <v>518105.29</v>
      </c>
      <c r="P564" s="2">
        <f t="shared" si="507"/>
        <v>5966.26</v>
      </c>
      <c r="Q564" s="2">
        <f t="shared" si="507"/>
        <v>0</v>
      </c>
      <c r="R564" s="2">
        <f t="shared" si="507"/>
        <v>0</v>
      </c>
      <c r="S564" s="2">
        <f t="shared" si="507"/>
        <v>512139.03</v>
      </c>
      <c r="T564" s="2">
        <f t="shared" si="507"/>
        <v>0</v>
      </c>
      <c r="U564" s="2">
        <f>U319+U356+U397+U451+U490+U534+AH564</f>
        <v>850.87308000000007</v>
      </c>
      <c r="V564" s="2">
        <f>V319+V356+V397+V451+V490+V534+AI564</f>
        <v>0</v>
      </c>
      <c r="W564" s="2">
        <f>ROUND(W319+W356+W397+W451+W490+W534+AJ564,2)</f>
        <v>0</v>
      </c>
      <c r="X564" s="2">
        <f>ROUND(X319+X356+X397+X451+X490+X534+AK564,2)</f>
        <v>358497.31</v>
      </c>
      <c r="Y564" s="2">
        <f>ROUND(Y319+Y356+Y397+Y451+Y490+Y534+AL564,2)</f>
        <v>51213.919999999998</v>
      </c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>
        <f t="shared" ref="AO564:BD564" si="508">ROUND(AO319+AO356+AO397+AO451+AO490+AO534+BX564,2)</f>
        <v>0</v>
      </c>
      <c r="AP564" s="2">
        <f t="shared" si="508"/>
        <v>0</v>
      </c>
      <c r="AQ564" s="2">
        <f t="shared" si="508"/>
        <v>0</v>
      </c>
      <c r="AR564" s="2">
        <f t="shared" si="508"/>
        <v>927816.52</v>
      </c>
      <c r="AS564" s="2">
        <f t="shared" si="508"/>
        <v>0</v>
      </c>
      <c r="AT564" s="2">
        <f t="shared" si="508"/>
        <v>0</v>
      </c>
      <c r="AU564" s="2">
        <f t="shared" si="508"/>
        <v>927816.52</v>
      </c>
      <c r="AV564" s="2">
        <f t="shared" si="508"/>
        <v>5966.26</v>
      </c>
      <c r="AW564" s="2">
        <f t="shared" si="508"/>
        <v>5966.26</v>
      </c>
      <c r="AX564" s="2">
        <f t="shared" si="508"/>
        <v>0</v>
      </c>
      <c r="AY564" s="2">
        <f t="shared" si="508"/>
        <v>5966.26</v>
      </c>
      <c r="AZ564" s="2">
        <f t="shared" si="508"/>
        <v>0</v>
      </c>
      <c r="BA564" s="2">
        <f t="shared" si="508"/>
        <v>0</v>
      </c>
      <c r="BB564" s="2">
        <f t="shared" si="508"/>
        <v>0</v>
      </c>
      <c r="BC564" s="2">
        <f t="shared" si="508"/>
        <v>0</v>
      </c>
      <c r="BD564" s="2">
        <f t="shared" si="508"/>
        <v>0</v>
      </c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3"/>
      <c r="DH564" s="3"/>
      <c r="DI564" s="3"/>
      <c r="DJ564" s="3"/>
      <c r="DK564" s="3"/>
      <c r="DL564" s="3"/>
      <c r="DM564" s="3"/>
      <c r="DN564" s="3"/>
      <c r="DO564" s="3"/>
      <c r="DP564" s="3"/>
      <c r="DQ564" s="3"/>
      <c r="DR564" s="3"/>
      <c r="DS564" s="3"/>
      <c r="DT564" s="3"/>
      <c r="DU564" s="3"/>
      <c r="DV564" s="3"/>
      <c r="DW564" s="3"/>
      <c r="DX564" s="3"/>
      <c r="DY564" s="3"/>
      <c r="DZ564" s="3"/>
      <c r="EA564" s="3"/>
      <c r="EB564" s="3"/>
      <c r="EC564" s="3"/>
      <c r="ED564" s="3"/>
      <c r="EE564" s="3"/>
      <c r="EF564" s="3"/>
      <c r="EG564" s="3"/>
      <c r="EH564" s="3"/>
      <c r="EI564" s="3"/>
      <c r="EJ564" s="3"/>
      <c r="EK564" s="3"/>
      <c r="EL564" s="3"/>
      <c r="EM564" s="3"/>
      <c r="EN564" s="3"/>
      <c r="EO564" s="3"/>
      <c r="EP564" s="3"/>
      <c r="EQ564" s="3"/>
      <c r="ER564" s="3"/>
      <c r="ES564" s="3"/>
      <c r="ET564" s="3"/>
      <c r="EU564" s="3"/>
      <c r="EV564" s="3"/>
      <c r="EW564" s="3"/>
      <c r="EX564" s="3"/>
      <c r="EY564" s="3"/>
      <c r="EZ564" s="3"/>
      <c r="FA564" s="3"/>
      <c r="FB564" s="3"/>
      <c r="FC564" s="3"/>
      <c r="FD564" s="3"/>
      <c r="FE564" s="3"/>
      <c r="FF564" s="3"/>
      <c r="FG564" s="3"/>
      <c r="FH564" s="3"/>
      <c r="FI564" s="3"/>
      <c r="FJ564" s="3"/>
      <c r="FK564" s="3"/>
      <c r="FL564" s="3"/>
      <c r="FM564" s="3"/>
      <c r="FN564" s="3"/>
      <c r="FO564" s="3"/>
      <c r="FP564" s="3"/>
      <c r="FQ564" s="3"/>
      <c r="FR564" s="3"/>
      <c r="FS564" s="3"/>
      <c r="FT564" s="3"/>
      <c r="FU564" s="3"/>
      <c r="FV564" s="3"/>
      <c r="FW564" s="3"/>
      <c r="FX564" s="3"/>
      <c r="FY564" s="3"/>
      <c r="FZ564" s="3"/>
      <c r="GA564" s="3"/>
      <c r="GB564" s="3"/>
      <c r="GC564" s="3"/>
      <c r="GD564" s="3"/>
      <c r="GE564" s="3"/>
      <c r="GF564" s="3"/>
      <c r="GG564" s="3"/>
      <c r="GH564" s="3"/>
      <c r="GI564" s="3"/>
      <c r="GJ564" s="3"/>
      <c r="GK564" s="3"/>
      <c r="GL564" s="3"/>
      <c r="GM564" s="3"/>
      <c r="GN564" s="3"/>
      <c r="GO564" s="3"/>
      <c r="GP564" s="3"/>
      <c r="GQ564" s="3"/>
      <c r="GR564" s="3"/>
      <c r="GS564" s="3"/>
      <c r="GT564" s="3"/>
      <c r="GU564" s="3"/>
      <c r="GV564" s="3"/>
      <c r="GW564" s="3"/>
      <c r="GX564" s="3">
        <v>0</v>
      </c>
    </row>
    <row r="566" spans="1:206" x14ac:dyDescent="0.2">
      <c r="A566" s="4">
        <v>50</v>
      </c>
      <c r="B566" s="4">
        <v>0</v>
      </c>
      <c r="C566" s="4">
        <v>0</v>
      </c>
      <c r="D566" s="4">
        <v>1</v>
      </c>
      <c r="E566" s="4">
        <v>201</v>
      </c>
      <c r="F566" s="4">
        <f>ROUND(Source!O564,O566)</f>
        <v>518105.29</v>
      </c>
      <c r="G566" s="4" t="s">
        <v>45</v>
      </c>
      <c r="H566" s="4" t="s">
        <v>46</v>
      </c>
      <c r="I566" s="4"/>
      <c r="J566" s="4"/>
      <c r="K566" s="4">
        <v>201</v>
      </c>
      <c r="L566" s="4">
        <v>1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518105.29</v>
      </c>
      <c r="X566" s="4">
        <v>1</v>
      </c>
      <c r="Y566" s="4">
        <v>518105.29</v>
      </c>
      <c r="Z566" s="4"/>
      <c r="AA566" s="4"/>
      <c r="AB566" s="4"/>
    </row>
    <row r="567" spans="1:206" x14ac:dyDescent="0.2">
      <c r="A567" s="4">
        <v>50</v>
      </c>
      <c r="B567" s="4">
        <v>0</v>
      </c>
      <c r="C567" s="4">
        <v>0</v>
      </c>
      <c r="D567" s="4">
        <v>1</v>
      </c>
      <c r="E567" s="4">
        <v>202</v>
      </c>
      <c r="F567" s="4">
        <f>ROUND(Source!P564,O567)</f>
        <v>5966.26</v>
      </c>
      <c r="G567" s="4" t="s">
        <v>47</v>
      </c>
      <c r="H567" s="4" t="s">
        <v>48</v>
      </c>
      <c r="I567" s="4"/>
      <c r="J567" s="4"/>
      <c r="K567" s="4">
        <v>202</v>
      </c>
      <c r="L567" s="4">
        <v>2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5966.26</v>
      </c>
      <c r="X567" s="4">
        <v>1</v>
      </c>
      <c r="Y567" s="4">
        <v>5966.26</v>
      </c>
      <c r="Z567" s="4"/>
      <c r="AA567" s="4"/>
      <c r="AB567" s="4"/>
    </row>
    <row r="568" spans="1:206" x14ac:dyDescent="0.2">
      <c r="A568" s="4">
        <v>50</v>
      </c>
      <c r="B568" s="4">
        <v>0</v>
      </c>
      <c r="C568" s="4">
        <v>0</v>
      </c>
      <c r="D568" s="4">
        <v>1</v>
      </c>
      <c r="E568" s="4">
        <v>222</v>
      </c>
      <c r="F568" s="4">
        <f>ROUND(Source!AO564,O568)</f>
        <v>0</v>
      </c>
      <c r="G568" s="4" t="s">
        <v>49</v>
      </c>
      <c r="H568" s="4" t="s">
        <v>50</v>
      </c>
      <c r="I568" s="4"/>
      <c r="J568" s="4"/>
      <c r="K568" s="4">
        <v>222</v>
      </c>
      <c r="L568" s="4">
        <v>3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06" x14ac:dyDescent="0.2">
      <c r="A569" s="4">
        <v>50</v>
      </c>
      <c r="B569" s="4">
        <v>0</v>
      </c>
      <c r="C569" s="4">
        <v>0</v>
      </c>
      <c r="D569" s="4">
        <v>1</v>
      </c>
      <c r="E569" s="4">
        <v>225</v>
      </c>
      <c r="F569" s="4">
        <f>ROUND(Source!AV564,O569)</f>
        <v>5966.26</v>
      </c>
      <c r="G569" s="4" t="s">
        <v>51</v>
      </c>
      <c r="H569" s="4" t="s">
        <v>52</v>
      </c>
      <c r="I569" s="4"/>
      <c r="J569" s="4"/>
      <c r="K569" s="4">
        <v>225</v>
      </c>
      <c r="L569" s="4">
        <v>4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5966.26</v>
      </c>
      <c r="X569" s="4">
        <v>1</v>
      </c>
      <c r="Y569" s="4">
        <v>5966.26</v>
      </c>
      <c r="Z569" s="4"/>
      <c r="AA569" s="4"/>
      <c r="AB569" s="4"/>
    </row>
    <row r="570" spans="1:206" x14ac:dyDescent="0.2">
      <c r="A570" s="4">
        <v>50</v>
      </c>
      <c r="B570" s="4">
        <v>0</v>
      </c>
      <c r="C570" s="4">
        <v>0</v>
      </c>
      <c r="D570" s="4">
        <v>1</v>
      </c>
      <c r="E570" s="4">
        <v>226</v>
      </c>
      <c r="F570" s="4">
        <f>ROUND(Source!AW564,O570)</f>
        <v>5966.26</v>
      </c>
      <c r="G570" s="4" t="s">
        <v>53</v>
      </c>
      <c r="H570" s="4" t="s">
        <v>54</v>
      </c>
      <c r="I570" s="4"/>
      <c r="J570" s="4"/>
      <c r="K570" s="4">
        <v>226</v>
      </c>
      <c r="L570" s="4">
        <v>5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5966.26</v>
      </c>
      <c r="X570" s="4">
        <v>1</v>
      </c>
      <c r="Y570" s="4">
        <v>5966.26</v>
      </c>
      <c r="Z570" s="4"/>
      <c r="AA570" s="4"/>
      <c r="AB570" s="4"/>
    </row>
    <row r="571" spans="1:206" x14ac:dyDescent="0.2">
      <c r="A571" s="4">
        <v>50</v>
      </c>
      <c r="B571" s="4">
        <v>0</v>
      </c>
      <c r="C571" s="4">
        <v>0</v>
      </c>
      <c r="D571" s="4">
        <v>1</v>
      </c>
      <c r="E571" s="4">
        <v>227</v>
      </c>
      <c r="F571" s="4">
        <f>ROUND(Source!AX564,O571)</f>
        <v>0</v>
      </c>
      <c r="G571" s="4" t="s">
        <v>55</v>
      </c>
      <c r="H571" s="4" t="s">
        <v>56</v>
      </c>
      <c r="I571" s="4"/>
      <c r="J571" s="4"/>
      <c r="K571" s="4">
        <v>227</v>
      </c>
      <c r="L571" s="4">
        <v>6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06" x14ac:dyDescent="0.2">
      <c r="A572" s="4">
        <v>50</v>
      </c>
      <c r="B572" s="4">
        <v>0</v>
      </c>
      <c r="C572" s="4">
        <v>0</v>
      </c>
      <c r="D572" s="4">
        <v>1</v>
      </c>
      <c r="E572" s="4">
        <v>228</v>
      </c>
      <c r="F572" s="4">
        <f>ROUND(Source!AY564,O572)</f>
        <v>5966.26</v>
      </c>
      <c r="G572" s="4" t="s">
        <v>57</v>
      </c>
      <c r="H572" s="4" t="s">
        <v>58</v>
      </c>
      <c r="I572" s="4"/>
      <c r="J572" s="4"/>
      <c r="K572" s="4">
        <v>228</v>
      </c>
      <c r="L572" s="4">
        <v>7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5966.26</v>
      </c>
      <c r="X572" s="4">
        <v>1</v>
      </c>
      <c r="Y572" s="4">
        <v>5966.26</v>
      </c>
      <c r="Z572" s="4"/>
      <c r="AA572" s="4"/>
      <c r="AB572" s="4"/>
    </row>
    <row r="573" spans="1:206" x14ac:dyDescent="0.2">
      <c r="A573" s="4">
        <v>50</v>
      </c>
      <c r="B573" s="4">
        <v>0</v>
      </c>
      <c r="C573" s="4">
        <v>0</v>
      </c>
      <c r="D573" s="4">
        <v>1</v>
      </c>
      <c r="E573" s="4">
        <v>216</v>
      </c>
      <c r="F573" s="4">
        <f>ROUND(Source!AP564,O573)</f>
        <v>0</v>
      </c>
      <c r="G573" s="4" t="s">
        <v>59</v>
      </c>
      <c r="H573" s="4" t="s">
        <v>60</v>
      </c>
      <c r="I573" s="4"/>
      <c r="J573" s="4"/>
      <c r="K573" s="4">
        <v>216</v>
      </c>
      <c r="L573" s="4">
        <v>8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06" x14ac:dyDescent="0.2">
      <c r="A574" s="4">
        <v>50</v>
      </c>
      <c r="B574" s="4">
        <v>0</v>
      </c>
      <c r="C574" s="4">
        <v>0</v>
      </c>
      <c r="D574" s="4">
        <v>1</v>
      </c>
      <c r="E574" s="4">
        <v>223</v>
      </c>
      <c r="F574" s="4">
        <f>ROUND(Source!AQ564,O574)</f>
        <v>0</v>
      </c>
      <c r="G574" s="4" t="s">
        <v>61</v>
      </c>
      <c r="H574" s="4" t="s">
        <v>62</v>
      </c>
      <c r="I574" s="4"/>
      <c r="J574" s="4"/>
      <c r="K574" s="4">
        <v>223</v>
      </c>
      <c r="L574" s="4">
        <v>9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06" x14ac:dyDescent="0.2">
      <c r="A575" s="4">
        <v>50</v>
      </c>
      <c r="B575" s="4">
        <v>0</v>
      </c>
      <c r="C575" s="4">
        <v>0</v>
      </c>
      <c r="D575" s="4">
        <v>1</v>
      </c>
      <c r="E575" s="4">
        <v>229</v>
      </c>
      <c r="F575" s="4">
        <f>ROUND(Source!AZ564,O575)</f>
        <v>0</v>
      </c>
      <c r="G575" s="4" t="s">
        <v>63</v>
      </c>
      <c r="H575" s="4" t="s">
        <v>64</v>
      </c>
      <c r="I575" s="4"/>
      <c r="J575" s="4"/>
      <c r="K575" s="4">
        <v>229</v>
      </c>
      <c r="L575" s="4">
        <v>10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06" x14ac:dyDescent="0.2">
      <c r="A576" s="4">
        <v>50</v>
      </c>
      <c r="B576" s="4">
        <v>0</v>
      </c>
      <c r="C576" s="4">
        <v>0</v>
      </c>
      <c r="D576" s="4">
        <v>1</v>
      </c>
      <c r="E576" s="4">
        <v>203</v>
      </c>
      <c r="F576" s="4">
        <f>ROUND(Source!Q564,O576)</f>
        <v>0</v>
      </c>
      <c r="G576" s="4" t="s">
        <v>65</v>
      </c>
      <c r="H576" s="4" t="s">
        <v>66</v>
      </c>
      <c r="I576" s="4"/>
      <c r="J576" s="4"/>
      <c r="K576" s="4">
        <v>203</v>
      </c>
      <c r="L576" s="4">
        <v>11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231</v>
      </c>
      <c r="F577" s="4">
        <f>ROUND(Source!BB564,O577)</f>
        <v>0</v>
      </c>
      <c r="G577" s="4" t="s">
        <v>67</v>
      </c>
      <c r="H577" s="4" t="s">
        <v>68</v>
      </c>
      <c r="I577" s="4"/>
      <c r="J577" s="4"/>
      <c r="K577" s="4">
        <v>231</v>
      </c>
      <c r="L577" s="4">
        <v>12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204</v>
      </c>
      <c r="F578" s="4">
        <f>ROUND(Source!R564,O578)</f>
        <v>0</v>
      </c>
      <c r="G578" s="4" t="s">
        <v>69</v>
      </c>
      <c r="H578" s="4" t="s">
        <v>70</v>
      </c>
      <c r="I578" s="4"/>
      <c r="J578" s="4"/>
      <c r="K578" s="4">
        <v>204</v>
      </c>
      <c r="L578" s="4">
        <v>13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205</v>
      </c>
      <c r="F579" s="4">
        <f>ROUND(Source!S564,O579)</f>
        <v>512139.03</v>
      </c>
      <c r="G579" s="4" t="s">
        <v>71</v>
      </c>
      <c r="H579" s="4" t="s">
        <v>72</v>
      </c>
      <c r="I579" s="4"/>
      <c r="J579" s="4"/>
      <c r="K579" s="4">
        <v>205</v>
      </c>
      <c r="L579" s="4">
        <v>14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512139.03</v>
      </c>
      <c r="X579" s="4">
        <v>1</v>
      </c>
      <c r="Y579" s="4">
        <v>512139.03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232</v>
      </c>
      <c r="F580" s="4">
        <f>ROUND(Source!BC564,O580)</f>
        <v>0</v>
      </c>
      <c r="G580" s="4" t="s">
        <v>73</v>
      </c>
      <c r="H580" s="4" t="s">
        <v>74</v>
      </c>
      <c r="I580" s="4"/>
      <c r="J580" s="4"/>
      <c r="K580" s="4">
        <v>232</v>
      </c>
      <c r="L580" s="4">
        <v>15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214</v>
      </c>
      <c r="F581" s="4">
        <f>ROUND(Source!AS564,O581)</f>
        <v>0</v>
      </c>
      <c r="G581" s="4" t="s">
        <v>75</v>
      </c>
      <c r="H581" s="4" t="s">
        <v>76</v>
      </c>
      <c r="I581" s="4"/>
      <c r="J581" s="4"/>
      <c r="K581" s="4">
        <v>214</v>
      </c>
      <c r="L581" s="4">
        <v>16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215</v>
      </c>
      <c r="F582" s="4">
        <f>ROUND(Source!AT564,O582)</f>
        <v>0</v>
      </c>
      <c r="G582" s="4" t="s">
        <v>77</v>
      </c>
      <c r="H582" s="4" t="s">
        <v>78</v>
      </c>
      <c r="I582" s="4"/>
      <c r="J582" s="4"/>
      <c r="K582" s="4">
        <v>215</v>
      </c>
      <c r="L582" s="4">
        <v>17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217</v>
      </c>
      <c r="F583" s="4">
        <f>ROUND(Source!AU564,O583)</f>
        <v>927816.52</v>
      </c>
      <c r="G583" s="4" t="s">
        <v>79</v>
      </c>
      <c r="H583" s="4" t="s">
        <v>80</v>
      </c>
      <c r="I583" s="4"/>
      <c r="J583" s="4"/>
      <c r="K583" s="4">
        <v>217</v>
      </c>
      <c r="L583" s="4">
        <v>18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927816.52</v>
      </c>
      <c r="X583" s="4">
        <v>1</v>
      </c>
      <c r="Y583" s="4">
        <v>927816.52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230</v>
      </c>
      <c r="F584" s="4">
        <f>ROUND(Source!BA564,O584)</f>
        <v>0</v>
      </c>
      <c r="G584" s="4" t="s">
        <v>81</v>
      </c>
      <c r="H584" s="4" t="s">
        <v>82</v>
      </c>
      <c r="I584" s="4"/>
      <c r="J584" s="4"/>
      <c r="K584" s="4">
        <v>230</v>
      </c>
      <c r="L584" s="4">
        <v>19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206</v>
      </c>
      <c r="F585" s="4">
        <f>ROUND(Source!T564,O585)</f>
        <v>0</v>
      </c>
      <c r="G585" s="4" t="s">
        <v>83</v>
      </c>
      <c r="H585" s="4" t="s">
        <v>84</v>
      </c>
      <c r="I585" s="4"/>
      <c r="J585" s="4"/>
      <c r="K585" s="4">
        <v>206</v>
      </c>
      <c r="L585" s="4">
        <v>20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207</v>
      </c>
      <c r="F586" s="4">
        <f>Source!U564</f>
        <v>850.87308000000007</v>
      </c>
      <c r="G586" s="4" t="s">
        <v>85</v>
      </c>
      <c r="H586" s="4" t="s">
        <v>86</v>
      </c>
      <c r="I586" s="4"/>
      <c r="J586" s="4"/>
      <c r="K586" s="4">
        <v>207</v>
      </c>
      <c r="L586" s="4">
        <v>21</v>
      </c>
      <c r="M586" s="4">
        <v>3</v>
      </c>
      <c r="N586" s="4" t="s">
        <v>3</v>
      </c>
      <c r="O586" s="4">
        <v>-1</v>
      </c>
      <c r="P586" s="4"/>
      <c r="Q586" s="4"/>
      <c r="R586" s="4"/>
      <c r="S586" s="4"/>
      <c r="T586" s="4"/>
      <c r="U586" s="4"/>
      <c r="V586" s="4"/>
      <c r="W586" s="4">
        <v>850.87307999999996</v>
      </c>
      <c r="X586" s="4">
        <v>1</v>
      </c>
      <c r="Y586" s="4">
        <v>850.87307999999996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208</v>
      </c>
      <c r="F587" s="4">
        <f>Source!V564</f>
        <v>0</v>
      </c>
      <c r="G587" s="4" t="s">
        <v>87</v>
      </c>
      <c r="H587" s="4" t="s">
        <v>88</v>
      </c>
      <c r="I587" s="4"/>
      <c r="J587" s="4"/>
      <c r="K587" s="4">
        <v>208</v>
      </c>
      <c r="L587" s="4">
        <v>22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209</v>
      </c>
      <c r="F588" s="4">
        <f>ROUND(Source!W564,O588)</f>
        <v>0</v>
      </c>
      <c r="G588" s="4" t="s">
        <v>89</v>
      </c>
      <c r="H588" s="4" t="s">
        <v>90</v>
      </c>
      <c r="I588" s="4"/>
      <c r="J588" s="4"/>
      <c r="K588" s="4">
        <v>209</v>
      </c>
      <c r="L588" s="4">
        <v>23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233</v>
      </c>
      <c r="F589" s="4">
        <f>ROUND(Source!BD564,O589)</f>
        <v>0</v>
      </c>
      <c r="G589" s="4" t="s">
        <v>91</v>
      </c>
      <c r="H589" s="4" t="s">
        <v>92</v>
      </c>
      <c r="I589" s="4"/>
      <c r="J589" s="4"/>
      <c r="K589" s="4">
        <v>233</v>
      </c>
      <c r="L589" s="4">
        <v>24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210</v>
      </c>
      <c r="F590" s="4">
        <f>ROUND(Source!X564,O590)</f>
        <v>358497.31</v>
      </c>
      <c r="G590" s="4" t="s">
        <v>93</v>
      </c>
      <c r="H590" s="4" t="s">
        <v>94</v>
      </c>
      <c r="I590" s="4"/>
      <c r="J590" s="4"/>
      <c r="K590" s="4">
        <v>210</v>
      </c>
      <c r="L590" s="4">
        <v>25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358497.31</v>
      </c>
      <c r="X590" s="4">
        <v>1</v>
      </c>
      <c r="Y590" s="4">
        <v>358497.31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211</v>
      </c>
      <c r="F591" s="4">
        <f>ROUND(Source!Y564,O591)</f>
        <v>51213.919999999998</v>
      </c>
      <c r="G591" s="4" t="s">
        <v>95</v>
      </c>
      <c r="H591" s="4" t="s">
        <v>96</v>
      </c>
      <c r="I591" s="4"/>
      <c r="J591" s="4"/>
      <c r="K591" s="4">
        <v>211</v>
      </c>
      <c r="L591" s="4">
        <v>26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51213.919999999998</v>
      </c>
      <c r="X591" s="4">
        <v>1</v>
      </c>
      <c r="Y591" s="4">
        <v>51213.919999999998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224</v>
      </c>
      <c r="F592" s="4">
        <f>ROUND(Source!AR564,O592)</f>
        <v>927816.52</v>
      </c>
      <c r="G592" s="4" t="s">
        <v>97</v>
      </c>
      <c r="H592" s="4" t="s">
        <v>98</v>
      </c>
      <c r="I592" s="4"/>
      <c r="J592" s="4"/>
      <c r="K592" s="4">
        <v>224</v>
      </c>
      <c r="L592" s="4">
        <v>27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927816.52</v>
      </c>
      <c r="X592" s="4">
        <v>1</v>
      </c>
      <c r="Y592" s="4">
        <v>927816.52</v>
      </c>
      <c r="Z592" s="4"/>
      <c r="AA592" s="4"/>
      <c r="AB592" s="4"/>
    </row>
    <row r="594" spans="1:245" x14ac:dyDescent="0.2">
      <c r="A594" s="1">
        <v>4</v>
      </c>
      <c r="B594" s="1">
        <v>1</v>
      </c>
      <c r="C594" s="1"/>
      <c r="D594" s="1">
        <f>ROW(A686)</f>
        <v>686</v>
      </c>
      <c r="E594" s="1"/>
      <c r="F594" s="1" t="s">
        <v>13</v>
      </c>
      <c r="G594" s="1" t="s">
        <v>500</v>
      </c>
      <c r="H594" s="1" t="s">
        <v>3</v>
      </c>
      <c r="I594" s="1">
        <v>0</v>
      </c>
      <c r="J594" s="1"/>
      <c r="K594" s="1">
        <v>0</v>
      </c>
      <c r="L594" s="1"/>
      <c r="M594" s="1" t="s">
        <v>3</v>
      </c>
      <c r="N594" s="1"/>
      <c r="O594" s="1"/>
      <c r="P594" s="1"/>
      <c r="Q594" s="1"/>
      <c r="R594" s="1"/>
      <c r="S594" s="1">
        <v>0</v>
      </c>
      <c r="T594" s="1"/>
      <c r="U594" s="1" t="s">
        <v>3</v>
      </c>
      <c r="V594" s="1">
        <v>0</v>
      </c>
      <c r="W594" s="1"/>
      <c r="X594" s="1"/>
      <c r="Y594" s="1"/>
      <c r="Z594" s="1"/>
      <c r="AA594" s="1"/>
      <c r="AB594" s="1" t="s">
        <v>3</v>
      </c>
      <c r="AC594" s="1" t="s">
        <v>3</v>
      </c>
      <c r="AD594" s="1" t="s">
        <v>3</v>
      </c>
      <c r="AE594" s="1" t="s">
        <v>3</v>
      </c>
      <c r="AF594" s="1" t="s">
        <v>3</v>
      </c>
      <c r="AG594" s="1" t="s">
        <v>3</v>
      </c>
      <c r="AH594" s="1"/>
      <c r="AI594" s="1"/>
      <c r="AJ594" s="1"/>
      <c r="AK594" s="1"/>
      <c r="AL594" s="1"/>
      <c r="AM594" s="1"/>
      <c r="AN594" s="1"/>
      <c r="AO594" s="1"/>
      <c r="AP594" s="1" t="s">
        <v>3</v>
      </c>
      <c r="AQ594" s="1" t="s">
        <v>3</v>
      </c>
      <c r="AR594" s="1" t="s">
        <v>3</v>
      </c>
      <c r="AS594" s="1"/>
      <c r="AT594" s="1"/>
      <c r="AU594" s="1"/>
      <c r="AV594" s="1"/>
      <c r="AW594" s="1"/>
      <c r="AX594" s="1"/>
      <c r="AY594" s="1"/>
      <c r="AZ594" s="1" t="s">
        <v>3</v>
      </c>
      <c r="BA594" s="1"/>
      <c r="BB594" s="1" t="s">
        <v>3</v>
      </c>
      <c r="BC594" s="1" t="s">
        <v>3</v>
      </c>
      <c r="BD594" s="1" t="s">
        <v>3</v>
      </c>
      <c r="BE594" s="1" t="s">
        <v>3</v>
      </c>
      <c r="BF594" s="1" t="s">
        <v>3</v>
      </c>
      <c r="BG594" s="1" t="s">
        <v>3</v>
      </c>
      <c r="BH594" s="1" t="s">
        <v>3</v>
      </c>
      <c r="BI594" s="1" t="s">
        <v>3</v>
      </c>
      <c r="BJ594" s="1" t="s">
        <v>3</v>
      </c>
      <c r="BK594" s="1" t="s">
        <v>3</v>
      </c>
      <c r="BL594" s="1" t="s">
        <v>3</v>
      </c>
      <c r="BM594" s="1" t="s">
        <v>3</v>
      </c>
      <c r="BN594" s="1" t="s">
        <v>3</v>
      </c>
      <c r="BO594" s="1" t="s">
        <v>3</v>
      </c>
      <c r="BP594" s="1" t="s">
        <v>3</v>
      </c>
      <c r="BQ594" s="1"/>
      <c r="BR594" s="1"/>
      <c r="BS594" s="1"/>
      <c r="BT594" s="1"/>
      <c r="BU594" s="1"/>
      <c r="BV594" s="1"/>
      <c r="BW594" s="1"/>
      <c r="BX594" s="1">
        <v>0</v>
      </c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>
        <v>0</v>
      </c>
    </row>
    <row r="596" spans="1:245" x14ac:dyDescent="0.2">
      <c r="A596" s="2">
        <v>52</v>
      </c>
      <c r="B596" s="2">
        <f t="shared" ref="B596:G596" si="509">B686</f>
        <v>1</v>
      </c>
      <c r="C596" s="2">
        <f t="shared" si="509"/>
        <v>4</v>
      </c>
      <c r="D596" s="2">
        <f t="shared" si="509"/>
        <v>594</v>
      </c>
      <c r="E596" s="2">
        <f t="shared" si="509"/>
        <v>0</v>
      </c>
      <c r="F596" s="2" t="str">
        <f t="shared" si="509"/>
        <v>Новый раздел</v>
      </c>
      <c r="G596" s="2" t="str">
        <f t="shared" si="509"/>
        <v>Раздел: 5. Автоматизация комплексная</v>
      </c>
      <c r="H596" s="2"/>
      <c r="I596" s="2"/>
      <c r="J596" s="2"/>
      <c r="K596" s="2"/>
      <c r="L596" s="2"/>
      <c r="M596" s="2"/>
      <c r="N596" s="2"/>
      <c r="O596" s="2">
        <f t="shared" ref="O596:AT596" si="510">O686</f>
        <v>79099.42</v>
      </c>
      <c r="P596" s="2">
        <f t="shared" si="510"/>
        <v>397.01</v>
      </c>
      <c r="Q596" s="2">
        <f t="shared" si="510"/>
        <v>273.63</v>
      </c>
      <c r="R596" s="2">
        <f t="shared" si="510"/>
        <v>173.5</v>
      </c>
      <c r="S596" s="2">
        <f t="shared" si="510"/>
        <v>78428.78</v>
      </c>
      <c r="T596" s="2">
        <f t="shared" si="510"/>
        <v>0</v>
      </c>
      <c r="U596" s="2">
        <f t="shared" si="510"/>
        <v>111.931</v>
      </c>
      <c r="V596" s="2">
        <f t="shared" si="510"/>
        <v>0</v>
      </c>
      <c r="W596" s="2">
        <f t="shared" si="510"/>
        <v>0</v>
      </c>
      <c r="X596" s="2">
        <f t="shared" si="510"/>
        <v>54900.160000000003</v>
      </c>
      <c r="Y596" s="2">
        <f t="shared" si="510"/>
        <v>7842.88</v>
      </c>
      <c r="Z596" s="2">
        <f t="shared" si="510"/>
        <v>0</v>
      </c>
      <c r="AA596" s="2">
        <f t="shared" si="510"/>
        <v>0</v>
      </c>
      <c r="AB596" s="2">
        <f t="shared" si="510"/>
        <v>0</v>
      </c>
      <c r="AC596" s="2">
        <f t="shared" si="510"/>
        <v>0</v>
      </c>
      <c r="AD596" s="2">
        <f t="shared" si="510"/>
        <v>0</v>
      </c>
      <c r="AE596" s="2">
        <f t="shared" si="510"/>
        <v>0</v>
      </c>
      <c r="AF596" s="2">
        <f t="shared" si="510"/>
        <v>0</v>
      </c>
      <c r="AG596" s="2">
        <f t="shared" si="510"/>
        <v>0</v>
      </c>
      <c r="AH596" s="2">
        <f t="shared" si="510"/>
        <v>0</v>
      </c>
      <c r="AI596" s="2">
        <f t="shared" si="510"/>
        <v>0</v>
      </c>
      <c r="AJ596" s="2">
        <f t="shared" si="510"/>
        <v>0</v>
      </c>
      <c r="AK596" s="2">
        <f t="shared" si="510"/>
        <v>0</v>
      </c>
      <c r="AL596" s="2">
        <f t="shared" si="510"/>
        <v>0</v>
      </c>
      <c r="AM596" s="2">
        <f t="shared" si="510"/>
        <v>0</v>
      </c>
      <c r="AN596" s="2">
        <f t="shared" si="510"/>
        <v>0</v>
      </c>
      <c r="AO596" s="2">
        <f t="shared" si="510"/>
        <v>0</v>
      </c>
      <c r="AP596" s="2">
        <f t="shared" si="510"/>
        <v>0</v>
      </c>
      <c r="AQ596" s="2">
        <f t="shared" si="510"/>
        <v>0</v>
      </c>
      <c r="AR596" s="2">
        <f t="shared" si="510"/>
        <v>142029.84</v>
      </c>
      <c r="AS596" s="2">
        <f t="shared" si="510"/>
        <v>0</v>
      </c>
      <c r="AT596" s="2">
        <f t="shared" si="510"/>
        <v>0</v>
      </c>
      <c r="AU596" s="2">
        <f t="shared" ref="AU596:BZ596" si="511">AU686</f>
        <v>142029.84</v>
      </c>
      <c r="AV596" s="2">
        <f t="shared" si="511"/>
        <v>397.01</v>
      </c>
      <c r="AW596" s="2">
        <f t="shared" si="511"/>
        <v>397.01</v>
      </c>
      <c r="AX596" s="2">
        <f t="shared" si="511"/>
        <v>0</v>
      </c>
      <c r="AY596" s="2">
        <f t="shared" si="511"/>
        <v>397.01</v>
      </c>
      <c r="AZ596" s="2">
        <f t="shared" si="511"/>
        <v>0</v>
      </c>
      <c r="BA596" s="2">
        <f t="shared" si="511"/>
        <v>0</v>
      </c>
      <c r="BB596" s="2">
        <f t="shared" si="511"/>
        <v>0</v>
      </c>
      <c r="BC596" s="2">
        <f t="shared" si="511"/>
        <v>0</v>
      </c>
      <c r="BD596" s="2">
        <f t="shared" si="511"/>
        <v>0</v>
      </c>
      <c r="BE596" s="2">
        <f t="shared" si="511"/>
        <v>0</v>
      </c>
      <c r="BF596" s="2">
        <f t="shared" si="511"/>
        <v>0</v>
      </c>
      <c r="BG596" s="2">
        <f t="shared" si="511"/>
        <v>0</v>
      </c>
      <c r="BH596" s="2">
        <f t="shared" si="511"/>
        <v>0</v>
      </c>
      <c r="BI596" s="2">
        <f t="shared" si="511"/>
        <v>0</v>
      </c>
      <c r="BJ596" s="2">
        <f t="shared" si="511"/>
        <v>0</v>
      </c>
      <c r="BK596" s="2">
        <f t="shared" si="511"/>
        <v>0</v>
      </c>
      <c r="BL596" s="2">
        <f t="shared" si="511"/>
        <v>0</v>
      </c>
      <c r="BM596" s="2">
        <f t="shared" si="511"/>
        <v>0</v>
      </c>
      <c r="BN596" s="2">
        <f t="shared" si="511"/>
        <v>0</v>
      </c>
      <c r="BO596" s="2">
        <f t="shared" si="511"/>
        <v>0</v>
      </c>
      <c r="BP596" s="2">
        <f t="shared" si="511"/>
        <v>0</v>
      </c>
      <c r="BQ596" s="2">
        <f t="shared" si="511"/>
        <v>0</v>
      </c>
      <c r="BR596" s="2">
        <f t="shared" si="511"/>
        <v>0</v>
      </c>
      <c r="BS596" s="2">
        <f t="shared" si="511"/>
        <v>0</v>
      </c>
      <c r="BT596" s="2">
        <f t="shared" si="511"/>
        <v>0</v>
      </c>
      <c r="BU596" s="2">
        <f t="shared" si="511"/>
        <v>0</v>
      </c>
      <c r="BV596" s="2">
        <f t="shared" si="511"/>
        <v>0</v>
      </c>
      <c r="BW596" s="2">
        <f t="shared" si="511"/>
        <v>0</v>
      </c>
      <c r="BX596" s="2">
        <f t="shared" si="511"/>
        <v>0</v>
      </c>
      <c r="BY596" s="2">
        <f t="shared" si="511"/>
        <v>0</v>
      </c>
      <c r="BZ596" s="2">
        <f t="shared" si="511"/>
        <v>0</v>
      </c>
      <c r="CA596" s="2">
        <f t="shared" ref="CA596:DF596" si="512">CA686</f>
        <v>0</v>
      </c>
      <c r="CB596" s="2">
        <f t="shared" si="512"/>
        <v>0</v>
      </c>
      <c r="CC596" s="2">
        <f t="shared" si="512"/>
        <v>0</v>
      </c>
      <c r="CD596" s="2">
        <f t="shared" si="512"/>
        <v>0</v>
      </c>
      <c r="CE596" s="2">
        <f t="shared" si="512"/>
        <v>0</v>
      </c>
      <c r="CF596" s="2">
        <f t="shared" si="512"/>
        <v>0</v>
      </c>
      <c r="CG596" s="2">
        <f t="shared" si="512"/>
        <v>0</v>
      </c>
      <c r="CH596" s="2">
        <f t="shared" si="512"/>
        <v>0</v>
      </c>
      <c r="CI596" s="2">
        <f t="shared" si="512"/>
        <v>0</v>
      </c>
      <c r="CJ596" s="2">
        <f t="shared" si="512"/>
        <v>0</v>
      </c>
      <c r="CK596" s="2">
        <f t="shared" si="512"/>
        <v>0</v>
      </c>
      <c r="CL596" s="2">
        <f t="shared" si="512"/>
        <v>0</v>
      </c>
      <c r="CM596" s="2">
        <f t="shared" si="512"/>
        <v>0</v>
      </c>
      <c r="CN596" s="2">
        <f t="shared" si="512"/>
        <v>0</v>
      </c>
      <c r="CO596" s="2">
        <f t="shared" si="512"/>
        <v>0</v>
      </c>
      <c r="CP596" s="2">
        <f t="shared" si="512"/>
        <v>0</v>
      </c>
      <c r="CQ596" s="2">
        <f t="shared" si="512"/>
        <v>0</v>
      </c>
      <c r="CR596" s="2">
        <f t="shared" si="512"/>
        <v>0</v>
      </c>
      <c r="CS596" s="2">
        <f t="shared" si="512"/>
        <v>0</v>
      </c>
      <c r="CT596" s="2">
        <f t="shared" si="512"/>
        <v>0</v>
      </c>
      <c r="CU596" s="2">
        <f t="shared" si="512"/>
        <v>0</v>
      </c>
      <c r="CV596" s="2">
        <f t="shared" si="512"/>
        <v>0</v>
      </c>
      <c r="CW596" s="2">
        <f t="shared" si="512"/>
        <v>0</v>
      </c>
      <c r="CX596" s="2">
        <f t="shared" si="512"/>
        <v>0</v>
      </c>
      <c r="CY596" s="2">
        <f t="shared" si="512"/>
        <v>0</v>
      </c>
      <c r="CZ596" s="2">
        <f t="shared" si="512"/>
        <v>0</v>
      </c>
      <c r="DA596" s="2">
        <f t="shared" si="512"/>
        <v>0</v>
      </c>
      <c r="DB596" s="2">
        <f t="shared" si="512"/>
        <v>0</v>
      </c>
      <c r="DC596" s="2">
        <f t="shared" si="512"/>
        <v>0</v>
      </c>
      <c r="DD596" s="2">
        <f t="shared" si="512"/>
        <v>0</v>
      </c>
      <c r="DE596" s="2">
        <f t="shared" si="512"/>
        <v>0</v>
      </c>
      <c r="DF596" s="2">
        <f t="shared" si="512"/>
        <v>0</v>
      </c>
      <c r="DG596" s="3">
        <f t="shared" ref="DG596:EL596" si="513">DG686</f>
        <v>0</v>
      </c>
      <c r="DH596" s="3">
        <f t="shared" si="513"/>
        <v>0</v>
      </c>
      <c r="DI596" s="3">
        <f t="shared" si="513"/>
        <v>0</v>
      </c>
      <c r="DJ596" s="3">
        <f t="shared" si="513"/>
        <v>0</v>
      </c>
      <c r="DK596" s="3">
        <f t="shared" si="513"/>
        <v>0</v>
      </c>
      <c r="DL596" s="3">
        <f t="shared" si="513"/>
        <v>0</v>
      </c>
      <c r="DM596" s="3">
        <f t="shared" si="513"/>
        <v>0</v>
      </c>
      <c r="DN596" s="3">
        <f t="shared" si="513"/>
        <v>0</v>
      </c>
      <c r="DO596" s="3">
        <f t="shared" si="513"/>
        <v>0</v>
      </c>
      <c r="DP596" s="3">
        <f t="shared" si="513"/>
        <v>0</v>
      </c>
      <c r="DQ596" s="3">
        <f t="shared" si="513"/>
        <v>0</v>
      </c>
      <c r="DR596" s="3">
        <f t="shared" si="513"/>
        <v>0</v>
      </c>
      <c r="DS596" s="3">
        <f t="shared" si="513"/>
        <v>0</v>
      </c>
      <c r="DT596" s="3">
        <f t="shared" si="513"/>
        <v>0</v>
      </c>
      <c r="DU596" s="3">
        <f t="shared" si="513"/>
        <v>0</v>
      </c>
      <c r="DV596" s="3">
        <f t="shared" si="513"/>
        <v>0</v>
      </c>
      <c r="DW596" s="3">
        <f t="shared" si="513"/>
        <v>0</v>
      </c>
      <c r="DX596" s="3">
        <f t="shared" si="513"/>
        <v>0</v>
      </c>
      <c r="DY596" s="3">
        <f t="shared" si="513"/>
        <v>0</v>
      </c>
      <c r="DZ596" s="3">
        <f t="shared" si="513"/>
        <v>0</v>
      </c>
      <c r="EA596" s="3">
        <f t="shared" si="513"/>
        <v>0</v>
      </c>
      <c r="EB596" s="3">
        <f t="shared" si="513"/>
        <v>0</v>
      </c>
      <c r="EC596" s="3">
        <f t="shared" si="513"/>
        <v>0</v>
      </c>
      <c r="ED596" s="3">
        <f t="shared" si="513"/>
        <v>0</v>
      </c>
      <c r="EE596" s="3">
        <f t="shared" si="513"/>
        <v>0</v>
      </c>
      <c r="EF596" s="3">
        <f t="shared" si="513"/>
        <v>0</v>
      </c>
      <c r="EG596" s="3">
        <f t="shared" si="513"/>
        <v>0</v>
      </c>
      <c r="EH596" s="3">
        <f t="shared" si="513"/>
        <v>0</v>
      </c>
      <c r="EI596" s="3">
        <f t="shared" si="513"/>
        <v>0</v>
      </c>
      <c r="EJ596" s="3">
        <f t="shared" si="513"/>
        <v>0</v>
      </c>
      <c r="EK596" s="3">
        <f t="shared" si="513"/>
        <v>0</v>
      </c>
      <c r="EL596" s="3">
        <f t="shared" si="513"/>
        <v>0</v>
      </c>
      <c r="EM596" s="3">
        <f t="shared" ref="EM596:FR596" si="514">EM686</f>
        <v>0</v>
      </c>
      <c r="EN596" s="3">
        <f t="shared" si="514"/>
        <v>0</v>
      </c>
      <c r="EO596" s="3">
        <f t="shared" si="514"/>
        <v>0</v>
      </c>
      <c r="EP596" s="3">
        <f t="shared" si="514"/>
        <v>0</v>
      </c>
      <c r="EQ596" s="3">
        <f t="shared" si="514"/>
        <v>0</v>
      </c>
      <c r="ER596" s="3">
        <f t="shared" si="514"/>
        <v>0</v>
      </c>
      <c r="ES596" s="3">
        <f t="shared" si="514"/>
        <v>0</v>
      </c>
      <c r="ET596" s="3">
        <f t="shared" si="514"/>
        <v>0</v>
      </c>
      <c r="EU596" s="3">
        <f t="shared" si="514"/>
        <v>0</v>
      </c>
      <c r="EV596" s="3">
        <f t="shared" si="514"/>
        <v>0</v>
      </c>
      <c r="EW596" s="3">
        <f t="shared" si="514"/>
        <v>0</v>
      </c>
      <c r="EX596" s="3">
        <f t="shared" si="514"/>
        <v>0</v>
      </c>
      <c r="EY596" s="3">
        <f t="shared" si="514"/>
        <v>0</v>
      </c>
      <c r="EZ596" s="3">
        <f t="shared" si="514"/>
        <v>0</v>
      </c>
      <c r="FA596" s="3">
        <f t="shared" si="514"/>
        <v>0</v>
      </c>
      <c r="FB596" s="3">
        <f t="shared" si="514"/>
        <v>0</v>
      </c>
      <c r="FC596" s="3">
        <f t="shared" si="514"/>
        <v>0</v>
      </c>
      <c r="FD596" s="3">
        <f t="shared" si="514"/>
        <v>0</v>
      </c>
      <c r="FE596" s="3">
        <f t="shared" si="514"/>
        <v>0</v>
      </c>
      <c r="FF596" s="3">
        <f t="shared" si="514"/>
        <v>0</v>
      </c>
      <c r="FG596" s="3">
        <f t="shared" si="514"/>
        <v>0</v>
      </c>
      <c r="FH596" s="3">
        <f t="shared" si="514"/>
        <v>0</v>
      </c>
      <c r="FI596" s="3">
        <f t="shared" si="514"/>
        <v>0</v>
      </c>
      <c r="FJ596" s="3">
        <f t="shared" si="514"/>
        <v>0</v>
      </c>
      <c r="FK596" s="3">
        <f t="shared" si="514"/>
        <v>0</v>
      </c>
      <c r="FL596" s="3">
        <f t="shared" si="514"/>
        <v>0</v>
      </c>
      <c r="FM596" s="3">
        <f t="shared" si="514"/>
        <v>0</v>
      </c>
      <c r="FN596" s="3">
        <f t="shared" si="514"/>
        <v>0</v>
      </c>
      <c r="FO596" s="3">
        <f t="shared" si="514"/>
        <v>0</v>
      </c>
      <c r="FP596" s="3">
        <f t="shared" si="514"/>
        <v>0</v>
      </c>
      <c r="FQ596" s="3">
        <f t="shared" si="514"/>
        <v>0</v>
      </c>
      <c r="FR596" s="3">
        <f t="shared" si="514"/>
        <v>0</v>
      </c>
      <c r="FS596" s="3">
        <f t="shared" ref="FS596:GX596" si="515">FS686</f>
        <v>0</v>
      </c>
      <c r="FT596" s="3">
        <f t="shared" si="515"/>
        <v>0</v>
      </c>
      <c r="FU596" s="3">
        <f t="shared" si="515"/>
        <v>0</v>
      </c>
      <c r="FV596" s="3">
        <f t="shared" si="515"/>
        <v>0</v>
      </c>
      <c r="FW596" s="3">
        <f t="shared" si="515"/>
        <v>0</v>
      </c>
      <c r="FX596" s="3">
        <f t="shared" si="515"/>
        <v>0</v>
      </c>
      <c r="FY596" s="3">
        <f t="shared" si="515"/>
        <v>0</v>
      </c>
      <c r="FZ596" s="3">
        <f t="shared" si="515"/>
        <v>0</v>
      </c>
      <c r="GA596" s="3">
        <f t="shared" si="515"/>
        <v>0</v>
      </c>
      <c r="GB596" s="3">
        <f t="shared" si="515"/>
        <v>0</v>
      </c>
      <c r="GC596" s="3">
        <f t="shared" si="515"/>
        <v>0</v>
      </c>
      <c r="GD596" s="3">
        <f t="shared" si="515"/>
        <v>0</v>
      </c>
      <c r="GE596" s="3">
        <f t="shared" si="515"/>
        <v>0</v>
      </c>
      <c r="GF596" s="3">
        <f t="shared" si="515"/>
        <v>0</v>
      </c>
      <c r="GG596" s="3">
        <f t="shared" si="515"/>
        <v>0</v>
      </c>
      <c r="GH596" s="3">
        <f t="shared" si="515"/>
        <v>0</v>
      </c>
      <c r="GI596" s="3">
        <f t="shared" si="515"/>
        <v>0</v>
      </c>
      <c r="GJ596" s="3">
        <f t="shared" si="515"/>
        <v>0</v>
      </c>
      <c r="GK596" s="3">
        <f t="shared" si="515"/>
        <v>0</v>
      </c>
      <c r="GL596" s="3">
        <f t="shared" si="515"/>
        <v>0</v>
      </c>
      <c r="GM596" s="3">
        <f t="shared" si="515"/>
        <v>0</v>
      </c>
      <c r="GN596" s="3">
        <f t="shared" si="515"/>
        <v>0</v>
      </c>
      <c r="GO596" s="3">
        <f t="shared" si="515"/>
        <v>0</v>
      </c>
      <c r="GP596" s="3">
        <f t="shared" si="515"/>
        <v>0</v>
      </c>
      <c r="GQ596" s="3">
        <f t="shared" si="515"/>
        <v>0</v>
      </c>
      <c r="GR596" s="3">
        <f t="shared" si="515"/>
        <v>0</v>
      </c>
      <c r="GS596" s="3">
        <f t="shared" si="515"/>
        <v>0</v>
      </c>
      <c r="GT596" s="3">
        <f t="shared" si="515"/>
        <v>0</v>
      </c>
      <c r="GU596" s="3">
        <f t="shared" si="515"/>
        <v>0</v>
      </c>
      <c r="GV596" s="3">
        <f t="shared" si="515"/>
        <v>0</v>
      </c>
      <c r="GW596" s="3">
        <f t="shared" si="515"/>
        <v>0</v>
      </c>
      <c r="GX596" s="3">
        <f t="shared" si="515"/>
        <v>0</v>
      </c>
    </row>
    <row r="598" spans="1:245" x14ac:dyDescent="0.2">
      <c r="A598" s="1">
        <v>5</v>
      </c>
      <c r="B598" s="1">
        <v>1</v>
      </c>
      <c r="C598" s="1"/>
      <c r="D598" s="1">
        <f>ROW(A608)</f>
        <v>608</v>
      </c>
      <c r="E598" s="1"/>
      <c r="F598" s="1" t="s">
        <v>100</v>
      </c>
      <c r="G598" s="1" t="s">
        <v>501</v>
      </c>
      <c r="H598" s="1" t="s">
        <v>3</v>
      </c>
      <c r="I598" s="1">
        <v>0</v>
      </c>
      <c r="J598" s="1"/>
      <c r="K598" s="1">
        <v>-1</v>
      </c>
      <c r="L598" s="1"/>
      <c r="M598" s="1" t="s">
        <v>3</v>
      </c>
      <c r="N598" s="1"/>
      <c r="O598" s="1"/>
      <c r="P598" s="1"/>
      <c r="Q598" s="1"/>
      <c r="R598" s="1"/>
      <c r="S598" s="1">
        <v>0</v>
      </c>
      <c r="T598" s="1"/>
      <c r="U598" s="1" t="s">
        <v>3</v>
      </c>
      <c r="V598" s="1">
        <v>0</v>
      </c>
      <c r="W598" s="1"/>
      <c r="X598" s="1"/>
      <c r="Y598" s="1"/>
      <c r="Z598" s="1"/>
      <c r="AA598" s="1"/>
      <c r="AB598" s="1" t="s">
        <v>3</v>
      </c>
      <c r="AC598" s="1" t="s">
        <v>3</v>
      </c>
      <c r="AD598" s="1" t="s">
        <v>3</v>
      </c>
      <c r="AE598" s="1" t="s">
        <v>3</v>
      </c>
      <c r="AF598" s="1" t="s">
        <v>3</v>
      </c>
      <c r="AG598" s="1" t="s">
        <v>3</v>
      </c>
      <c r="AH598" s="1"/>
      <c r="AI598" s="1"/>
      <c r="AJ598" s="1"/>
      <c r="AK598" s="1"/>
      <c r="AL598" s="1"/>
      <c r="AM598" s="1"/>
      <c r="AN598" s="1"/>
      <c r="AO598" s="1"/>
      <c r="AP598" s="1" t="s">
        <v>3</v>
      </c>
      <c r="AQ598" s="1" t="s">
        <v>3</v>
      </c>
      <c r="AR598" s="1" t="s">
        <v>3</v>
      </c>
      <c r="AS598" s="1"/>
      <c r="AT598" s="1"/>
      <c r="AU598" s="1"/>
      <c r="AV598" s="1"/>
      <c r="AW598" s="1"/>
      <c r="AX598" s="1"/>
      <c r="AY598" s="1"/>
      <c r="AZ598" s="1" t="s">
        <v>3</v>
      </c>
      <c r="BA598" s="1"/>
      <c r="BB598" s="1" t="s">
        <v>3</v>
      </c>
      <c r="BC598" s="1" t="s">
        <v>3</v>
      </c>
      <c r="BD598" s="1" t="s">
        <v>3</v>
      </c>
      <c r="BE598" s="1" t="s">
        <v>3</v>
      </c>
      <c r="BF598" s="1" t="s">
        <v>3</v>
      </c>
      <c r="BG598" s="1" t="s">
        <v>3</v>
      </c>
      <c r="BH598" s="1" t="s">
        <v>3</v>
      </c>
      <c r="BI598" s="1" t="s">
        <v>3</v>
      </c>
      <c r="BJ598" s="1" t="s">
        <v>3</v>
      </c>
      <c r="BK598" s="1" t="s">
        <v>3</v>
      </c>
      <c r="BL598" s="1" t="s">
        <v>3</v>
      </c>
      <c r="BM598" s="1" t="s">
        <v>3</v>
      </c>
      <c r="BN598" s="1" t="s">
        <v>3</v>
      </c>
      <c r="BO598" s="1" t="s">
        <v>3</v>
      </c>
      <c r="BP598" s="1" t="s">
        <v>3</v>
      </c>
      <c r="BQ598" s="1"/>
      <c r="BR598" s="1"/>
      <c r="BS598" s="1"/>
      <c r="BT598" s="1"/>
      <c r="BU598" s="1"/>
      <c r="BV598" s="1"/>
      <c r="BW598" s="1"/>
      <c r="BX598" s="1">
        <v>0</v>
      </c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>
        <v>0</v>
      </c>
    </row>
    <row r="600" spans="1:245" x14ac:dyDescent="0.2">
      <c r="A600" s="2">
        <v>52</v>
      </c>
      <c r="B600" s="2">
        <f t="shared" ref="B600:G600" si="516">B608</f>
        <v>1</v>
      </c>
      <c r="C600" s="2">
        <f t="shared" si="516"/>
        <v>5</v>
      </c>
      <c r="D600" s="2">
        <f t="shared" si="516"/>
        <v>598</v>
      </c>
      <c r="E600" s="2">
        <f t="shared" si="516"/>
        <v>0</v>
      </c>
      <c r="F600" s="2" t="str">
        <f t="shared" si="516"/>
        <v>Новый подраздел</v>
      </c>
      <c r="G600" s="2" t="str">
        <f t="shared" si="516"/>
        <v>5.1  Автоматизация системы отопления</v>
      </c>
      <c r="H600" s="2"/>
      <c r="I600" s="2"/>
      <c r="J600" s="2"/>
      <c r="K600" s="2"/>
      <c r="L600" s="2"/>
      <c r="M600" s="2"/>
      <c r="N600" s="2"/>
      <c r="O600" s="2">
        <f t="shared" ref="O600:AT600" si="517">O608</f>
        <v>15380.58</v>
      </c>
      <c r="P600" s="2">
        <f t="shared" si="517"/>
        <v>29.82</v>
      </c>
      <c r="Q600" s="2">
        <f t="shared" si="517"/>
        <v>0</v>
      </c>
      <c r="R600" s="2">
        <f t="shared" si="517"/>
        <v>0</v>
      </c>
      <c r="S600" s="2">
        <f t="shared" si="517"/>
        <v>15350.76</v>
      </c>
      <c r="T600" s="2">
        <f t="shared" si="517"/>
        <v>0</v>
      </c>
      <c r="U600" s="2">
        <f t="shared" si="517"/>
        <v>21.66</v>
      </c>
      <c r="V600" s="2">
        <f t="shared" si="517"/>
        <v>0</v>
      </c>
      <c r="W600" s="2">
        <f t="shared" si="517"/>
        <v>0</v>
      </c>
      <c r="X600" s="2">
        <f t="shared" si="517"/>
        <v>10745.54</v>
      </c>
      <c r="Y600" s="2">
        <f t="shared" si="517"/>
        <v>1535.07</v>
      </c>
      <c r="Z600" s="2">
        <f t="shared" si="517"/>
        <v>0</v>
      </c>
      <c r="AA600" s="2">
        <f t="shared" si="517"/>
        <v>0</v>
      </c>
      <c r="AB600" s="2">
        <f t="shared" si="517"/>
        <v>15380.58</v>
      </c>
      <c r="AC600" s="2">
        <f t="shared" si="517"/>
        <v>29.82</v>
      </c>
      <c r="AD600" s="2">
        <f t="shared" si="517"/>
        <v>0</v>
      </c>
      <c r="AE600" s="2">
        <f t="shared" si="517"/>
        <v>0</v>
      </c>
      <c r="AF600" s="2">
        <f t="shared" si="517"/>
        <v>15350.76</v>
      </c>
      <c r="AG600" s="2">
        <f t="shared" si="517"/>
        <v>0</v>
      </c>
      <c r="AH600" s="2">
        <f t="shared" si="517"/>
        <v>21.66</v>
      </c>
      <c r="AI600" s="2">
        <f t="shared" si="517"/>
        <v>0</v>
      </c>
      <c r="AJ600" s="2">
        <f t="shared" si="517"/>
        <v>0</v>
      </c>
      <c r="AK600" s="2">
        <f t="shared" si="517"/>
        <v>10745.54</v>
      </c>
      <c r="AL600" s="2">
        <f t="shared" si="517"/>
        <v>1535.07</v>
      </c>
      <c r="AM600" s="2">
        <f t="shared" si="517"/>
        <v>0</v>
      </c>
      <c r="AN600" s="2">
        <f t="shared" si="517"/>
        <v>0</v>
      </c>
      <c r="AO600" s="2">
        <f t="shared" si="517"/>
        <v>0</v>
      </c>
      <c r="AP600" s="2">
        <f t="shared" si="517"/>
        <v>0</v>
      </c>
      <c r="AQ600" s="2">
        <f t="shared" si="517"/>
        <v>0</v>
      </c>
      <c r="AR600" s="2">
        <f t="shared" si="517"/>
        <v>27661.19</v>
      </c>
      <c r="AS600" s="2">
        <f t="shared" si="517"/>
        <v>0</v>
      </c>
      <c r="AT600" s="2">
        <f t="shared" si="517"/>
        <v>0</v>
      </c>
      <c r="AU600" s="2">
        <f t="shared" ref="AU600:BZ600" si="518">AU608</f>
        <v>27661.19</v>
      </c>
      <c r="AV600" s="2">
        <f t="shared" si="518"/>
        <v>29.82</v>
      </c>
      <c r="AW600" s="2">
        <f t="shared" si="518"/>
        <v>29.82</v>
      </c>
      <c r="AX600" s="2">
        <f t="shared" si="518"/>
        <v>0</v>
      </c>
      <c r="AY600" s="2">
        <f t="shared" si="518"/>
        <v>29.82</v>
      </c>
      <c r="AZ600" s="2">
        <f t="shared" si="518"/>
        <v>0</v>
      </c>
      <c r="BA600" s="2">
        <f t="shared" si="518"/>
        <v>0</v>
      </c>
      <c r="BB600" s="2">
        <f t="shared" si="518"/>
        <v>0</v>
      </c>
      <c r="BC600" s="2">
        <f t="shared" si="518"/>
        <v>0</v>
      </c>
      <c r="BD600" s="2">
        <f t="shared" si="518"/>
        <v>0</v>
      </c>
      <c r="BE600" s="2">
        <f t="shared" si="518"/>
        <v>0</v>
      </c>
      <c r="BF600" s="2">
        <f t="shared" si="518"/>
        <v>0</v>
      </c>
      <c r="BG600" s="2">
        <f t="shared" si="518"/>
        <v>0</v>
      </c>
      <c r="BH600" s="2">
        <f t="shared" si="518"/>
        <v>0</v>
      </c>
      <c r="BI600" s="2">
        <f t="shared" si="518"/>
        <v>0</v>
      </c>
      <c r="BJ600" s="2">
        <f t="shared" si="518"/>
        <v>0</v>
      </c>
      <c r="BK600" s="2">
        <f t="shared" si="518"/>
        <v>0</v>
      </c>
      <c r="BL600" s="2">
        <f t="shared" si="518"/>
        <v>0</v>
      </c>
      <c r="BM600" s="2">
        <f t="shared" si="518"/>
        <v>0</v>
      </c>
      <c r="BN600" s="2">
        <f t="shared" si="518"/>
        <v>0</v>
      </c>
      <c r="BO600" s="2">
        <f t="shared" si="518"/>
        <v>0</v>
      </c>
      <c r="BP600" s="2">
        <f t="shared" si="518"/>
        <v>0</v>
      </c>
      <c r="BQ600" s="2">
        <f t="shared" si="518"/>
        <v>0</v>
      </c>
      <c r="BR600" s="2">
        <f t="shared" si="518"/>
        <v>0</v>
      </c>
      <c r="BS600" s="2">
        <f t="shared" si="518"/>
        <v>0</v>
      </c>
      <c r="BT600" s="2">
        <f t="shared" si="518"/>
        <v>0</v>
      </c>
      <c r="BU600" s="2">
        <f t="shared" si="518"/>
        <v>0</v>
      </c>
      <c r="BV600" s="2">
        <f t="shared" si="518"/>
        <v>0</v>
      </c>
      <c r="BW600" s="2">
        <f t="shared" si="518"/>
        <v>0</v>
      </c>
      <c r="BX600" s="2">
        <f t="shared" si="518"/>
        <v>0</v>
      </c>
      <c r="BY600" s="2">
        <f t="shared" si="518"/>
        <v>0</v>
      </c>
      <c r="BZ600" s="2">
        <f t="shared" si="518"/>
        <v>0</v>
      </c>
      <c r="CA600" s="2">
        <f t="shared" ref="CA600:DF600" si="519">CA608</f>
        <v>27661.19</v>
      </c>
      <c r="CB600" s="2">
        <f t="shared" si="519"/>
        <v>0</v>
      </c>
      <c r="CC600" s="2">
        <f t="shared" si="519"/>
        <v>0</v>
      </c>
      <c r="CD600" s="2">
        <f t="shared" si="519"/>
        <v>27661.19</v>
      </c>
      <c r="CE600" s="2">
        <f t="shared" si="519"/>
        <v>29.82</v>
      </c>
      <c r="CF600" s="2">
        <f t="shared" si="519"/>
        <v>29.82</v>
      </c>
      <c r="CG600" s="2">
        <f t="shared" si="519"/>
        <v>0</v>
      </c>
      <c r="CH600" s="2">
        <f t="shared" si="519"/>
        <v>29.82</v>
      </c>
      <c r="CI600" s="2">
        <f t="shared" si="519"/>
        <v>0</v>
      </c>
      <c r="CJ600" s="2">
        <f t="shared" si="519"/>
        <v>0</v>
      </c>
      <c r="CK600" s="2">
        <f t="shared" si="519"/>
        <v>0</v>
      </c>
      <c r="CL600" s="2">
        <f t="shared" si="519"/>
        <v>0</v>
      </c>
      <c r="CM600" s="2">
        <f t="shared" si="519"/>
        <v>0</v>
      </c>
      <c r="CN600" s="2">
        <f t="shared" si="519"/>
        <v>0</v>
      </c>
      <c r="CO600" s="2">
        <f t="shared" si="519"/>
        <v>0</v>
      </c>
      <c r="CP600" s="2">
        <f t="shared" si="519"/>
        <v>0</v>
      </c>
      <c r="CQ600" s="2">
        <f t="shared" si="519"/>
        <v>0</v>
      </c>
      <c r="CR600" s="2">
        <f t="shared" si="519"/>
        <v>0</v>
      </c>
      <c r="CS600" s="2">
        <f t="shared" si="519"/>
        <v>0</v>
      </c>
      <c r="CT600" s="2">
        <f t="shared" si="519"/>
        <v>0</v>
      </c>
      <c r="CU600" s="2">
        <f t="shared" si="519"/>
        <v>0</v>
      </c>
      <c r="CV600" s="2">
        <f t="shared" si="519"/>
        <v>0</v>
      </c>
      <c r="CW600" s="2">
        <f t="shared" si="519"/>
        <v>0</v>
      </c>
      <c r="CX600" s="2">
        <f t="shared" si="519"/>
        <v>0</v>
      </c>
      <c r="CY600" s="2">
        <f t="shared" si="519"/>
        <v>0</v>
      </c>
      <c r="CZ600" s="2">
        <f t="shared" si="519"/>
        <v>0</v>
      </c>
      <c r="DA600" s="2">
        <f t="shared" si="519"/>
        <v>0</v>
      </c>
      <c r="DB600" s="2">
        <f t="shared" si="519"/>
        <v>0</v>
      </c>
      <c r="DC600" s="2">
        <f t="shared" si="519"/>
        <v>0</v>
      </c>
      <c r="DD600" s="2">
        <f t="shared" si="519"/>
        <v>0</v>
      </c>
      <c r="DE600" s="2">
        <f t="shared" si="519"/>
        <v>0</v>
      </c>
      <c r="DF600" s="2">
        <f t="shared" si="519"/>
        <v>0</v>
      </c>
      <c r="DG600" s="3">
        <f t="shared" ref="DG600:EL600" si="520">DG608</f>
        <v>0</v>
      </c>
      <c r="DH600" s="3">
        <f t="shared" si="520"/>
        <v>0</v>
      </c>
      <c r="DI600" s="3">
        <f t="shared" si="520"/>
        <v>0</v>
      </c>
      <c r="DJ600" s="3">
        <f t="shared" si="520"/>
        <v>0</v>
      </c>
      <c r="DK600" s="3">
        <f t="shared" si="520"/>
        <v>0</v>
      </c>
      <c r="DL600" s="3">
        <f t="shared" si="520"/>
        <v>0</v>
      </c>
      <c r="DM600" s="3">
        <f t="shared" si="520"/>
        <v>0</v>
      </c>
      <c r="DN600" s="3">
        <f t="shared" si="520"/>
        <v>0</v>
      </c>
      <c r="DO600" s="3">
        <f t="shared" si="520"/>
        <v>0</v>
      </c>
      <c r="DP600" s="3">
        <f t="shared" si="520"/>
        <v>0</v>
      </c>
      <c r="DQ600" s="3">
        <f t="shared" si="520"/>
        <v>0</v>
      </c>
      <c r="DR600" s="3">
        <f t="shared" si="520"/>
        <v>0</v>
      </c>
      <c r="DS600" s="3">
        <f t="shared" si="520"/>
        <v>0</v>
      </c>
      <c r="DT600" s="3">
        <f t="shared" si="520"/>
        <v>0</v>
      </c>
      <c r="DU600" s="3">
        <f t="shared" si="520"/>
        <v>0</v>
      </c>
      <c r="DV600" s="3">
        <f t="shared" si="520"/>
        <v>0</v>
      </c>
      <c r="DW600" s="3">
        <f t="shared" si="520"/>
        <v>0</v>
      </c>
      <c r="DX600" s="3">
        <f t="shared" si="520"/>
        <v>0</v>
      </c>
      <c r="DY600" s="3">
        <f t="shared" si="520"/>
        <v>0</v>
      </c>
      <c r="DZ600" s="3">
        <f t="shared" si="520"/>
        <v>0</v>
      </c>
      <c r="EA600" s="3">
        <f t="shared" si="520"/>
        <v>0</v>
      </c>
      <c r="EB600" s="3">
        <f t="shared" si="520"/>
        <v>0</v>
      </c>
      <c r="EC600" s="3">
        <f t="shared" si="520"/>
        <v>0</v>
      </c>
      <c r="ED600" s="3">
        <f t="shared" si="520"/>
        <v>0</v>
      </c>
      <c r="EE600" s="3">
        <f t="shared" si="520"/>
        <v>0</v>
      </c>
      <c r="EF600" s="3">
        <f t="shared" si="520"/>
        <v>0</v>
      </c>
      <c r="EG600" s="3">
        <f t="shared" si="520"/>
        <v>0</v>
      </c>
      <c r="EH600" s="3">
        <f t="shared" si="520"/>
        <v>0</v>
      </c>
      <c r="EI600" s="3">
        <f t="shared" si="520"/>
        <v>0</v>
      </c>
      <c r="EJ600" s="3">
        <f t="shared" si="520"/>
        <v>0</v>
      </c>
      <c r="EK600" s="3">
        <f t="shared" si="520"/>
        <v>0</v>
      </c>
      <c r="EL600" s="3">
        <f t="shared" si="520"/>
        <v>0</v>
      </c>
      <c r="EM600" s="3">
        <f t="shared" ref="EM600:FR600" si="521">EM608</f>
        <v>0</v>
      </c>
      <c r="EN600" s="3">
        <f t="shared" si="521"/>
        <v>0</v>
      </c>
      <c r="EO600" s="3">
        <f t="shared" si="521"/>
        <v>0</v>
      </c>
      <c r="EP600" s="3">
        <f t="shared" si="521"/>
        <v>0</v>
      </c>
      <c r="EQ600" s="3">
        <f t="shared" si="521"/>
        <v>0</v>
      </c>
      <c r="ER600" s="3">
        <f t="shared" si="521"/>
        <v>0</v>
      </c>
      <c r="ES600" s="3">
        <f t="shared" si="521"/>
        <v>0</v>
      </c>
      <c r="ET600" s="3">
        <f t="shared" si="521"/>
        <v>0</v>
      </c>
      <c r="EU600" s="3">
        <f t="shared" si="521"/>
        <v>0</v>
      </c>
      <c r="EV600" s="3">
        <f t="shared" si="521"/>
        <v>0</v>
      </c>
      <c r="EW600" s="3">
        <f t="shared" si="521"/>
        <v>0</v>
      </c>
      <c r="EX600" s="3">
        <f t="shared" si="521"/>
        <v>0</v>
      </c>
      <c r="EY600" s="3">
        <f t="shared" si="521"/>
        <v>0</v>
      </c>
      <c r="EZ600" s="3">
        <f t="shared" si="521"/>
        <v>0</v>
      </c>
      <c r="FA600" s="3">
        <f t="shared" si="521"/>
        <v>0</v>
      </c>
      <c r="FB600" s="3">
        <f t="shared" si="521"/>
        <v>0</v>
      </c>
      <c r="FC600" s="3">
        <f t="shared" si="521"/>
        <v>0</v>
      </c>
      <c r="FD600" s="3">
        <f t="shared" si="521"/>
        <v>0</v>
      </c>
      <c r="FE600" s="3">
        <f t="shared" si="521"/>
        <v>0</v>
      </c>
      <c r="FF600" s="3">
        <f t="shared" si="521"/>
        <v>0</v>
      </c>
      <c r="FG600" s="3">
        <f t="shared" si="521"/>
        <v>0</v>
      </c>
      <c r="FH600" s="3">
        <f t="shared" si="521"/>
        <v>0</v>
      </c>
      <c r="FI600" s="3">
        <f t="shared" si="521"/>
        <v>0</v>
      </c>
      <c r="FJ600" s="3">
        <f t="shared" si="521"/>
        <v>0</v>
      </c>
      <c r="FK600" s="3">
        <f t="shared" si="521"/>
        <v>0</v>
      </c>
      <c r="FL600" s="3">
        <f t="shared" si="521"/>
        <v>0</v>
      </c>
      <c r="FM600" s="3">
        <f t="shared" si="521"/>
        <v>0</v>
      </c>
      <c r="FN600" s="3">
        <f t="shared" si="521"/>
        <v>0</v>
      </c>
      <c r="FO600" s="3">
        <f t="shared" si="521"/>
        <v>0</v>
      </c>
      <c r="FP600" s="3">
        <f t="shared" si="521"/>
        <v>0</v>
      </c>
      <c r="FQ600" s="3">
        <f t="shared" si="521"/>
        <v>0</v>
      </c>
      <c r="FR600" s="3">
        <f t="shared" si="521"/>
        <v>0</v>
      </c>
      <c r="FS600" s="3">
        <f t="shared" ref="FS600:GX600" si="522">FS608</f>
        <v>0</v>
      </c>
      <c r="FT600" s="3">
        <f t="shared" si="522"/>
        <v>0</v>
      </c>
      <c r="FU600" s="3">
        <f t="shared" si="522"/>
        <v>0</v>
      </c>
      <c r="FV600" s="3">
        <f t="shared" si="522"/>
        <v>0</v>
      </c>
      <c r="FW600" s="3">
        <f t="shared" si="522"/>
        <v>0</v>
      </c>
      <c r="FX600" s="3">
        <f t="shared" si="522"/>
        <v>0</v>
      </c>
      <c r="FY600" s="3">
        <f t="shared" si="522"/>
        <v>0</v>
      </c>
      <c r="FZ600" s="3">
        <f t="shared" si="522"/>
        <v>0</v>
      </c>
      <c r="GA600" s="3">
        <f t="shared" si="522"/>
        <v>0</v>
      </c>
      <c r="GB600" s="3">
        <f t="shared" si="522"/>
        <v>0</v>
      </c>
      <c r="GC600" s="3">
        <f t="shared" si="522"/>
        <v>0</v>
      </c>
      <c r="GD600" s="3">
        <f t="shared" si="522"/>
        <v>0</v>
      </c>
      <c r="GE600" s="3">
        <f t="shared" si="522"/>
        <v>0</v>
      </c>
      <c r="GF600" s="3">
        <f t="shared" si="522"/>
        <v>0</v>
      </c>
      <c r="GG600" s="3">
        <f t="shared" si="522"/>
        <v>0</v>
      </c>
      <c r="GH600" s="3">
        <f t="shared" si="522"/>
        <v>0</v>
      </c>
      <c r="GI600" s="3">
        <f t="shared" si="522"/>
        <v>0</v>
      </c>
      <c r="GJ600" s="3">
        <f t="shared" si="522"/>
        <v>0</v>
      </c>
      <c r="GK600" s="3">
        <f t="shared" si="522"/>
        <v>0</v>
      </c>
      <c r="GL600" s="3">
        <f t="shared" si="522"/>
        <v>0</v>
      </c>
      <c r="GM600" s="3">
        <f t="shared" si="522"/>
        <v>0</v>
      </c>
      <c r="GN600" s="3">
        <f t="shared" si="522"/>
        <v>0</v>
      </c>
      <c r="GO600" s="3">
        <f t="shared" si="522"/>
        <v>0</v>
      </c>
      <c r="GP600" s="3">
        <f t="shared" si="522"/>
        <v>0</v>
      </c>
      <c r="GQ600" s="3">
        <f t="shared" si="522"/>
        <v>0</v>
      </c>
      <c r="GR600" s="3">
        <f t="shared" si="522"/>
        <v>0</v>
      </c>
      <c r="GS600" s="3">
        <f t="shared" si="522"/>
        <v>0</v>
      </c>
      <c r="GT600" s="3">
        <f t="shared" si="522"/>
        <v>0</v>
      </c>
      <c r="GU600" s="3">
        <f t="shared" si="522"/>
        <v>0</v>
      </c>
      <c r="GV600" s="3">
        <f t="shared" si="522"/>
        <v>0</v>
      </c>
      <c r="GW600" s="3">
        <f t="shared" si="522"/>
        <v>0</v>
      </c>
      <c r="GX600" s="3">
        <f t="shared" si="522"/>
        <v>0</v>
      </c>
    </row>
    <row r="602" spans="1:245" x14ac:dyDescent="0.2">
      <c r="A602">
        <v>17</v>
      </c>
      <c r="B602">
        <v>1</v>
      </c>
      <c r="D602">
        <f>ROW(EtalonRes!A380)</f>
        <v>380</v>
      </c>
      <c r="E602" t="s">
        <v>502</v>
      </c>
      <c r="F602" t="s">
        <v>114</v>
      </c>
      <c r="G602" t="s">
        <v>503</v>
      </c>
      <c r="H602" t="s">
        <v>31</v>
      </c>
      <c r="I602">
        <v>1</v>
      </c>
      <c r="J602">
        <v>0</v>
      </c>
      <c r="K602">
        <v>1</v>
      </c>
      <c r="O602">
        <f>ROUND(CP602,2)</f>
        <v>1631.48</v>
      </c>
      <c r="P602">
        <f>ROUND(CQ602*I602,2)</f>
        <v>0</v>
      </c>
      <c r="Q602">
        <f>ROUND(CR602*I602,2)</f>
        <v>0</v>
      </c>
      <c r="R602">
        <f>ROUND(CS602*I602,2)</f>
        <v>0</v>
      </c>
      <c r="S602">
        <f>ROUND(CT602*I602,2)</f>
        <v>1631.48</v>
      </c>
      <c r="T602">
        <f>ROUND(CU602*I602,2)</f>
        <v>0</v>
      </c>
      <c r="U602">
        <f>CV602*I602</f>
        <v>2.12</v>
      </c>
      <c r="V602">
        <f>CW602*I602</f>
        <v>0</v>
      </c>
      <c r="W602">
        <f>ROUND(CX602*I602,2)</f>
        <v>0</v>
      </c>
      <c r="X602">
        <f t="shared" ref="X602:Y606" si="523">ROUND(CY602,2)</f>
        <v>1142.04</v>
      </c>
      <c r="Y602">
        <f t="shared" si="523"/>
        <v>163.15</v>
      </c>
      <c r="AA602">
        <v>1471988752</v>
      </c>
      <c r="AB602">
        <f>ROUND((AC602+AD602+AF602),6)</f>
        <v>1631.48</v>
      </c>
      <c r="AC602">
        <f>ROUND(((ES602*2)),6)</f>
        <v>0</v>
      </c>
      <c r="AD602">
        <f>ROUND(((((ET602*2))-((EU602*2)))+AE602),6)</f>
        <v>0</v>
      </c>
      <c r="AE602">
        <f t="shared" ref="AE602:AF606" si="524">ROUND(((EU602*2)),6)</f>
        <v>0</v>
      </c>
      <c r="AF602">
        <f t="shared" si="524"/>
        <v>1631.48</v>
      </c>
      <c r="AG602">
        <f>ROUND((AP602),6)</f>
        <v>0</v>
      </c>
      <c r="AH602">
        <f t="shared" ref="AH602:AI606" si="525">((EW602*2))</f>
        <v>2.12</v>
      </c>
      <c r="AI602">
        <f t="shared" si="525"/>
        <v>0</v>
      </c>
      <c r="AJ602">
        <f>(AS602)</f>
        <v>0</v>
      </c>
      <c r="AK602">
        <v>815.74</v>
      </c>
      <c r="AL602">
        <v>0</v>
      </c>
      <c r="AM602">
        <v>0</v>
      </c>
      <c r="AN602">
        <v>0</v>
      </c>
      <c r="AO602">
        <v>815.74</v>
      </c>
      <c r="AP602">
        <v>0</v>
      </c>
      <c r="AQ602">
        <v>1.06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116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>(P602+Q602+S602)</f>
        <v>1631.48</v>
      </c>
      <c r="CQ602">
        <f>(AC602*BC602*AW602)</f>
        <v>0</v>
      </c>
      <c r="CR602">
        <f>(((((ET602*2))*BB602-((EU602*2))*BS602)+AE602*BS602)*AV602)</f>
        <v>0</v>
      </c>
      <c r="CS602">
        <f>(AE602*BS602*AV602)</f>
        <v>0</v>
      </c>
      <c r="CT602">
        <f>(AF602*BA602*AV602)</f>
        <v>1631.48</v>
      </c>
      <c r="CU602">
        <f>AG602</f>
        <v>0</v>
      </c>
      <c r="CV602">
        <f>(AH602*AV602)</f>
        <v>2.12</v>
      </c>
      <c r="CW602">
        <f t="shared" ref="CW602:CX606" si="526">AI602</f>
        <v>0</v>
      </c>
      <c r="CX602">
        <f t="shared" si="526"/>
        <v>0</v>
      </c>
      <c r="CY602">
        <f>((S602*BZ602)/100)</f>
        <v>1142.0360000000001</v>
      </c>
      <c r="CZ602">
        <f>((S602*CA602)/100)</f>
        <v>163.148</v>
      </c>
      <c r="DC602" t="s">
        <v>3</v>
      </c>
      <c r="DD602" t="s">
        <v>117</v>
      </c>
      <c r="DE602" t="s">
        <v>117</v>
      </c>
      <c r="DF602" t="s">
        <v>117</v>
      </c>
      <c r="DG602" t="s">
        <v>117</v>
      </c>
      <c r="DH602" t="s">
        <v>3</v>
      </c>
      <c r="DI602" t="s">
        <v>117</v>
      </c>
      <c r="DJ602" t="s">
        <v>117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31</v>
      </c>
      <c r="DW602" t="s">
        <v>31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19</v>
      </c>
      <c r="EH602">
        <v>0</v>
      </c>
      <c r="EI602" t="s">
        <v>3</v>
      </c>
      <c r="EJ602">
        <v>4</v>
      </c>
      <c r="EK602">
        <v>0</v>
      </c>
      <c r="EL602" t="s">
        <v>20</v>
      </c>
      <c r="EM602" t="s">
        <v>21</v>
      </c>
      <c r="EO602" t="s">
        <v>3</v>
      </c>
      <c r="EQ602">
        <v>0</v>
      </c>
      <c r="ER602">
        <v>815.74</v>
      </c>
      <c r="ES602">
        <v>0</v>
      </c>
      <c r="ET602">
        <v>0</v>
      </c>
      <c r="EU602">
        <v>0</v>
      </c>
      <c r="EV602">
        <v>815.74</v>
      </c>
      <c r="EW602">
        <v>1.06</v>
      </c>
      <c r="EX602">
        <v>0</v>
      </c>
      <c r="EY602">
        <v>0</v>
      </c>
      <c r="FQ602">
        <v>0</v>
      </c>
      <c r="FR602">
        <f>ROUND(IF(BI602=3,GM602,0),2)</f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324747816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</v>
      </c>
      <c r="GL602">
        <f>ROUND(IF(AND(BH602=3,BI602=3,FS602&lt;&gt;0),P602,0),2)</f>
        <v>0</v>
      </c>
      <c r="GM602">
        <f>ROUND(O602+X602+Y602+GK602,2)+GX602</f>
        <v>2936.67</v>
      </c>
      <c r="GN602">
        <f>IF(OR(BI602=0,BI602=1),GM602-GX602,0)</f>
        <v>0</v>
      </c>
      <c r="GO602">
        <f>IF(BI602=2,GM602-GX602,0)</f>
        <v>0</v>
      </c>
      <c r="GP602">
        <f>IF(BI602=4,GM602-GX602,0)</f>
        <v>2936.67</v>
      </c>
      <c r="GR602">
        <v>0</v>
      </c>
      <c r="GS602">
        <v>3</v>
      </c>
      <c r="GT602">
        <v>0</v>
      </c>
      <c r="GU602" t="s">
        <v>3</v>
      </c>
      <c r="GV602">
        <f>ROUND((GT602),6)</f>
        <v>0</v>
      </c>
      <c r="GW602">
        <v>1</v>
      </c>
      <c r="GX602">
        <f>ROUND(HC602*I602,2)</f>
        <v>0</v>
      </c>
      <c r="HA602">
        <v>0</v>
      </c>
      <c r="HB602">
        <v>0</v>
      </c>
      <c r="HC602">
        <f>GV602*GW602</f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D603">
        <f>ROW(EtalonRes!A381)</f>
        <v>381</v>
      </c>
      <c r="E603" t="s">
        <v>504</v>
      </c>
      <c r="F603" t="s">
        <v>181</v>
      </c>
      <c r="G603" t="s">
        <v>505</v>
      </c>
      <c r="H603" t="s">
        <v>31</v>
      </c>
      <c r="I603">
        <v>1</v>
      </c>
      <c r="J603">
        <v>0</v>
      </c>
      <c r="K603">
        <v>1</v>
      </c>
      <c r="O603">
        <f>ROUND(CP603,2)</f>
        <v>987.98</v>
      </c>
      <c r="P603">
        <f>ROUND(CQ603*I603,2)</f>
        <v>0</v>
      </c>
      <c r="Q603">
        <f>ROUND(CR603*I603,2)</f>
        <v>0</v>
      </c>
      <c r="R603">
        <f>ROUND(CS603*I603,2)</f>
        <v>0</v>
      </c>
      <c r="S603">
        <f>ROUND(CT603*I603,2)</f>
        <v>987.98</v>
      </c>
      <c r="T603">
        <f>ROUND(CU603*I603,2)</f>
        <v>0</v>
      </c>
      <c r="U603">
        <f>CV603*I603</f>
        <v>1.6</v>
      </c>
      <c r="V603">
        <f>CW603*I603</f>
        <v>0</v>
      </c>
      <c r="W603">
        <f>ROUND(CX603*I603,2)</f>
        <v>0</v>
      </c>
      <c r="X603">
        <f t="shared" si="523"/>
        <v>691.59</v>
      </c>
      <c r="Y603">
        <f t="shared" si="523"/>
        <v>98.8</v>
      </c>
      <c r="AA603">
        <v>1471988752</v>
      </c>
      <c r="AB603">
        <f>ROUND((AC603+AD603+AF603),6)</f>
        <v>987.98</v>
      </c>
      <c r="AC603">
        <f>ROUND(((ES603*2)),6)</f>
        <v>0</v>
      </c>
      <c r="AD603">
        <f>ROUND(((((ET603*2))-((EU603*2)))+AE603),6)</f>
        <v>0</v>
      </c>
      <c r="AE603">
        <f t="shared" si="524"/>
        <v>0</v>
      </c>
      <c r="AF603">
        <f t="shared" si="524"/>
        <v>987.98</v>
      </c>
      <c r="AG603">
        <f>ROUND((AP603),6)</f>
        <v>0</v>
      </c>
      <c r="AH603">
        <f t="shared" si="525"/>
        <v>1.6</v>
      </c>
      <c r="AI603">
        <f t="shared" si="525"/>
        <v>0</v>
      </c>
      <c r="AJ603">
        <f>(AS603)</f>
        <v>0</v>
      </c>
      <c r="AK603">
        <v>493.99</v>
      </c>
      <c r="AL603">
        <v>0</v>
      </c>
      <c r="AM603">
        <v>0</v>
      </c>
      <c r="AN603">
        <v>0</v>
      </c>
      <c r="AO603">
        <v>493.99</v>
      </c>
      <c r="AP603">
        <v>0</v>
      </c>
      <c r="AQ603">
        <v>0.8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183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>(P603+Q603+S603)</f>
        <v>987.98</v>
      </c>
      <c r="CQ603">
        <f>(AC603*BC603*AW603)</f>
        <v>0</v>
      </c>
      <c r="CR603">
        <f>(((((ET603*2))*BB603-((EU603*2))*BS603)+AE603*BS603)*AV603)</f>
        <v>0</v>
      </c>
      <c r="CS603">
        <f>(AE603*BS603*AV603)</f>
        <v>0</v>
      </c>
      <c r="CT603">
        <f>(AF603*BA603*AV603)</f>
        <v>987.98</v>
      </c>
      <c r="CU603">
        <f>AG603</f>
        <v>0</v>
      </c>
      <c r="CV603">
        <f>(AH603*AV603)</f>
        <v>1.6</v>
      </c>
      <c r="CW603">
        <f t="shared" si="526"/>
        <v>0</v>
      </c>
      <c r="CX603">
        <f t="shared" si="526"/>
        <v>0</v>
      </c>
      <c r="CY603">
        <f>((S603*BZ603)/100)</f>
        <v>691.58600000000001</v>
      </c>
      <c r="CZ603">
        <f>((S603*CA603)/100)</f>
        <v>98.797999999999988</v>
      </c>
      <c r="DC603" t="s">
        <v>3</v>
      </c>
      <c r="DD603" t="s">
        <v>117</v>
      </c>
      <c r="DE603" t="s">
        <v>117</v>
      </c>
      <c r="DF603" t="s">
        <v>117</v>
      </c>
      <c r="DG603" t="s">
        <v>117</v>
      </c>
      <c r="DH603" t="s">
        <v>3</v>
      </c>
      <c r="DI603" t="s">
        <v>117</v>
      </c>
      <c r="DJ603" t="s">
        <v>117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31</v>
      </c>
      <c r="DW603" t="s">
        <v>31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19</v>
      </c>
      <c r="EH603">
        <v>0</v>
      </c>
      <c r="EI603" t="s">
        <v>3</v>
      </c>
      <c r="EJ603">
        <v>4</v>
      </c>
      <c r="EK603">
        <v>0</v>
      </c>
      <c r="EL603" t="s">
        <v>20</v>
      </c>
      <c r="EM603" t="s">
        <v>21</v>
      </c>
      <c r="EO603" t="s">
        <v>3</v>
      </c>
      <c r="EQ603">
        <v>0</v>
      </c>
      <c r="ER603">
        <v>493.99</v>
      </c>
      <c r="ES603">
        <v>0</v>
      </c>
      <c r="ET603">
        <v>0</v>
      </c>
      <c r="EU603">
        <v>0</v>
      </c>
      <c r="EV603">
        <v>493.99</v>
      </c>
      <c r="EW603">
        <v>0.8</v>
      </c>
      <c r="EX603">
        <v>0</v>
      </c>
      <c r="EY603">
        <v>0</v>
      </c>
      <c r="FQ603">
        <v>0</v>
      </c>
      <c r="FR603">
        <f>ROUND(IF(BI603=3,GM603,0),2)</f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49875626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>ROUND(IF(AND(BH603=3,BI603=3,FS603&lt;&gt;0),P603,0),2)</f>
        <v>0</v>
      </c>
      <c r="GM603">
        <f>ROUND(O603+X603+Y603+GK603,2)+GX603</f>
        <v>1778.37</v>
      </c>
      <c r="GN603">
        <f>IF(OR(BI603=0,BI603=1),GM603-GX603,0)</f>
        <v>0</v>
      </c>
      <c r="GO603">
        <f>IF(BI603=2,GM603-GX603,0)</f>
        <v>0</v>
      </c>
      <c r="GP603">
        <f>IF(BI603=4,GM603-GX603,0)</f>
        <v>1778.37</v>
      </c>
      <c r="GR603">
        <v>0</v>
      </c>
      <c r="GS603">
        <v>3</v>
      </c>
      <c r="GT603">
        <v>0</v>
      </c>
      <c r="GU603" t="s">
        <v>3</v>
      </c>
      <c r="GV603">
        <f>ROUND((GT603),6)</f>
        <v>0</v>
      </c>
      <c r="GW603">
        <v>1</v>
      </c>
      <c r="GX603">
        <f>ROUND(HC603*I603,2)</f>
        <v>0</v>
      </c>
      <c r="HA603">
        <v>0</v>
      </c>
      <c r="HB603">
        <v>0</v>
      </c>
      <c r="HC603">
        <f>GV603*GW603</f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ROW(EtalonRes!A384)</f>
        <v>384</v>
      </c>
      <c r="E604" t="s">
        <v>506</v>
      </c>
      <c r="F604" t="s">
        <v>507</v>
      </c>
      <c r="G604" t="s">
        <v>508</v>
      </c>
      <c r="H604" t="s">
        <v>31</v>
      </c>
      <c r="I604">
        <v>1</v>
      </c>
      <c r="J604">
        <v>0</v>
      </c>
      <c r="K604">
        <v>1</v>
      </c>
      <c r="O604">
        <f>ROUND(CP604,2)</f>
        <v>4296.28</v>
      </c>
      <c r="P604">
        <f>ROUND(CQ604*I604,2)</f>
        <v>9.94</v>
      </c>
      <c r="Q604">
        <f>ROUND(CR604*I604,2)</f>
        <v>0</v>
      </c>
      <c r="R604">
        <f>ROUND(CS604*I604,2)</f>
        <v>0</v>
      </c>
      <c r="S604">
        <f>ROUND(CT604*I604,2)</f>
        <v>4286.34</v>
      </c>
      <c r="T604">
        <f>ROUND(CU604*I604,2)</f>
        <v>0</v>
      </c>
      <c r="U604">
        <f>CV604*I604</f>
        <v>6.04</v>
      </c>
      <c r="V604">
        <f>CW604*I604</f>
        <v>0</v>
      </c>
      <c r="W604">
        <f>ROUND(CX604*I604,2)</f>
        <v>0</v>
      </c>
      <c r="X604">
        <f t="shared" si="523"/>
        <v>3000.44</v>
      </c>
      <c r="Y604">
        <f t="shared" si="523"/>
        <v>428.63</v>
      </c>
      <c r="AA604">
        <v>1471988752</v>
      </c>
      <c r="AB604">
        <f>ROUND((AC604+AD604+AF604),6)</f>
        <v>4296.28</v>
      </c>
      <c r="AC604">
        <f>ROUND(((ES604*2)),6)</f>
        <v>9.94</v>
      </c>
      <c r="AD604">
        <f>ROUND(((((ET604*2))-((EU604*2)))+AE604),6)</f>
        <v>0</v>
      </c>
      <c r="AE604">
        <f t="shared" si="524"/>
        <v>0</v>
      </c>
      <c r="AF604">
        <f t="shared" si="524"/>
        <v>4286.34</v>
      </c>
      <c r="AG604">
        <f>ROUND((AP604),6)</f>
        <v>0</v>
      </c>
      <c r="AH604">
        <f t="shared" si="525"/>
        <v>6.04</v>
      </c>
      <c r="AI604">
        <f t="shared" si="525"/>
        <v>0</v>
      </c>
      <c r="AJ604">
        <f>(AS604)</f>
        <v>0</v>
      </c>
      <c r="AK604">
        <v>2148.14</v>
      </c>
      <c r="AL604">
        <v>4.97</v>
      </c>
      <c r="AM604">
        <v>0</v>
      </c>
      <c r="AN604">
        <v>0</v>
      </c>
      <c r="AO604">
        <v>2143.17</v>
      </c>
      <c r="AP604">
        <v>0</v>
      </c>
      <c r="AQ604">
        <v>3.02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509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>(P604+Q604+S604)</f>
        <v>4296.28</v>
      </c>
      <c r="CQ604">
        <f>(AC604*BC604*AW604)</f>
        <v>9.94</v>
      </c>
      <c r="CR604">
        <f>(((((ET604*2))*BB604-((EU604*2))*BS604)+AE604*BS604)*AV604)</f>
        <v>0</v>
      </c>
      <c r="CS604">
        <f>(AE604*BS604*AV604)</f>
        <v>0</v>
      </c>
      <c r="CT604">
        <f>(AF604*BA604*AV604)</f>
        <v>4286.34</v>
      </c>
      <c r="CU604">
        <f>AG604</f>
        <v>0</v>
      </c>
      <c r="CV604">
        <f>(AH604*AV604)</f>
        <v>6.04</v>
      </c>
      <c r="CW604">
        <f t="shared" si="526"/>
        <v>0</v>
      </c>
      <c r="CX604">
        <f t="shared" si="526"/>
        <v>0</v>
      </c>
      <c r="CY604">
        <f>((S604*BZ604)/100)</f>
        <v>3000.4380000000001</v>
      </c>
      <c r="CZ604">
        <f>((S604*CA604)/100)</f>
        <v>428.63400000000001</v>
      </c>
      <c r="DC604" t="s">
        <v>3</v>
      </c>
      <c r="DD604" t="s">
        <v>117</v>
      </c>
      <c r="DE604" t="s">
        <v>117</v>
      </c>
      <c r="DF604" t="s">
        <v>117</v>
      </c>
      <c r="DG604" t="s">
        <v>117</v>
      </c>
      <c r="DH604" t="s">
        <v>3</v>
      </c>
      <c r="DI604" t="s">
        <v>117</v>
      </c>
      <c r="DJ604" t="s">
        <v>117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31</v>
      </c>
      <c r="DW604" t="s">
        <v>31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19</v>
      </c>
      <c r="EH604">
        <v>0</v>
      </c>
      <c r="EI604" t="s">
        <v>3</v>
      </c>
      <c r="EJ604">
        <v>4</v>
      </c>
      <c r="EK604">
        <v>0</v>
      </c>
      <c r="EL604" t="s">
        <v>20</v>
      </c>
      <c r="EM604" t="s">
        <v>21</v>
      </c>
      <c r="EO604" t="s">
        <v>3</v>
      </c>
      <c r="EQ604">
        <v>0</v>
      </c>
      <c r="ER604">
        <v>2148.14</v>
      </c>
      <c r="ES604">
        <v>4.97</v>
      </c>
      <c r="ET604">
        <v>0</v>
      </c>
      <c r="EU604">
        <v>0</v>
      </c>
      <c r="EV604">
        <v>2143.17</v>
      </c>
      <c r="EW604">
        <v>3.02</v>
      </c>
      <c r="EX604">
        <v>0</v>
      </c>
      <c r="EY604">
        <v>0</v>
      </c>
      <c r="FQ604">
        <v>0</v>
      </c>
      <c r="FR604">
        <f>ROUND(IF(BI604=3,GM604,0),2)</f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-1564910126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>ROUND(IF(AND(BH604=3,BI604=3,FS604&lt;&gt;0),P604,0),2)</f>
        <v>0</v>
      </c>
      <c r="GM604">
        <f>ROUND(O604+X604+Y604+GK604,2)+GX604</f>
        <v>7725.35</v>
      </c>
      <c r="GN604">
        <f>IF(OR(BI604=0,BI604=1),GM604-GX604,0)</f>
        <v>0</v>
      </c>
      <c r="GO604">
        <f>IF(BI604=2,GM604-GX604,0)</f>
        <v>0</v>
      </c>
      <c r="GP604">
        <f>IF(BI604=4,GM604-GX604,0)</f>
        <v>7725.35</v>
      </c>
      <c r="GR604">
        <v>0</v>
      </c>
      <c r="GS604">
        <v>3</v>
      </c>
      <c r="GT604">
        <v>0</v>
      </c>
      <c r="GU604" t="s">
        <v>3</v>
      </c>
      <c r="GV604">
        <f>ROUND((GT604),6)</f>
        <v>0</v>
      </c>
      <c r="GW604">
        <v>1</v>
      </c>
      <c r="GX604">
        <f>ROUND(HC604*I604,2)</f>
        <v>0</v>
      </c>
      <c r="HA604">
        <v>0</v>
      </c>
      <c r="HB604">
        <v>0</v>
      </c>
      <c r="HC604">
        <f>GV604*GW604</f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ROW(EtalonRes!A387)</f>
        <v>387</v>
      </c>
      <c r="E605" t="s">
        <v>510</v>
      </c>
      <c r="F605" t="s">
        <v>511</v>
      </c>
      <c r="G605" t="s">
        <v>512</v>
      </c>
      <c r="H605" t="s">
        <v>31</v>
      </c>
      <c r="I605">
        <v>1</v>
      </c>
      <c r="J605">
        <v>0</v>
      </c>
      <c r="K605">
        <v>1</v>
      </c>
      <c r="O605">
        <f>ROUND(CP605,2)</f>
        <v>4097.58</v>
      </c>
      <c r="P605">
        <f>ROUND(CQ605*I605,2)</f>
        <v>9.94</v>
      </c>
      <c r="Q605">
        <f>ROUND(CR605*I605,2)</f>
        <v>0</v>
      </c>
      <c r="R605">
        <f>ROUND(CS605*I605,2)</f>
        <v>0</v>
      </c>
      <c r="S605">
        <f>ROUND(CT605*I605,2)</f>
        <v>4087.64</v>
      </c>
      <c r="T605">
        <f>ROUND(CU605*I605,2)</f>
        <v>0</v>
      </c>
      <c r="U605">
        <f>CV605*I605</f>
        <v>5.76</v>
      </c>
      <c r="V605">
        <f>CW605*I605</f>
        <v>0</v>
      </c>
      <c r="W605">
        <f>ROUND(CX605*I605,2)</f>
        <v>0</v>
      </c>
      <c r="X605">
        <f t="shared" si="523"/>
        <v>2861.35</v>
      </c>
      <c r="Y605">
        <f t="shared" si="523"/>
        <v>408.76</v>
      </c>
      <c r="AA605">
        <v>1471988752</v>
      </c>
      <c r="AB605">
        <f>ROUND((AC605+AD605+AF605),6)</f>
        <v>4097.58</v>
      </c>
      <c r="AC605">
        <f>ROUND(((ES605*2)),6)</f>
        <v>9.94</v>
      </c>
      <c r="AD605">
        <f>ROUND(((((ET605*2))-((EU605*2)))+AE605),6)</f>
        <v>0</v>
      </c>
      <c r="AE605">
        <f t="shared" si="524"/>
        <v>0</v>
      </c>
      <c r="AF605">
        <f t="shared" si="524"/>
        <v>4087.64</v>
      </c>
      <c r="AG605">
        <f>ROUND((AP605),6)</f>
        <v>0</v>
      </c>
      <c r="AH605">
        <f t="shared" si="525"/>
        <v>5.76</v>
      </c>
      <c r="AI605">
        <f t="shared" si="525"/>
        <v>0</v>
      </c>
      <c r="AJ605">
        <f>(AS605)</f>
        <v>0</v>
      </c>
      <c r="AK605">
        <v>2048.79</v>
      </c>
      <c r="AL605">
        <v>4.97</v>
      </c>
      <c r="AM605">
        <v>0</v>
      </c>
      <c r="AN605">
        <v>0</v>
      </c>
      <c r="AO605">
        <v>2043.82</v>
      </c>
      <c r="AP605">
        <v>0</v>
      </c>
      <c r="AQ605">
        <v>2.88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513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>(P605+Q605+S605)</f>
        <v>4097.58</v>
      </c>
      <c r="CQ605">
        <f>(AC605*BC605*AW605)</f>
        <v>9.94</v>
      </c>
      <c r="CR605">
        <f>(((((ET605*2))*BB605-((EU605*2))*BS605)+AE605*BS605)*AV605)</f>
        <v>0</v>
      </c>
      <c r="CS605">
        <f>(AE605*BS605*AV605)</f>
        <v>0</v>
      </c>
      <c r="CT605">
        <f>(AF605*BA605*AV605)</f>
        <v>4087.64</v>
      </c>
      <c r="CU605">
        <f>AG605</f>
        <v>0</v>
      </c>
      <c r="CV605">
        <f>(AH605*AV605)</f>
        <v>5.76</v>
      </c>
      <c r="CW605">
        <f t="shared" si="526"/>
        <v>0</v>
      </c>
      <c r="CX605">
        <f t="shared" si="526"/>
        <v>0</v>
      </c>
      <c r="CY605">
        <f>((S605*BZ605)/100)</f>
        <v>2861.348</v>
      </c>
      <c r="CZ605">
        <f>((S605*CA605)/100)</f>
        <v>408.76400000000001</v>
      </c>
      <c r="DC605" t="s">
        <v>3</v>
      </c>
      <c r="DD605" t="s">
        <v>117</v>
      </c>
      <c r="DE605" t="s">
        <v>117</v>
      </c>
      <c r="DF605" t="s">
        <v>117</v>
      </c>
      <c r="DG605" t="s">
        <v>117</v>
      </c>
      <c r="DH605" t="s">
        <v>3</v>
      </c>
      <c r="DI605" t="s">
        <v>117</v>
      </c>
      <c r="DJ605" t="s">
        <v>117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31</v>
      </c>
      <c r="DW605" t="s">
        <v>31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19</v>
      </c>
      <c r="EH605">
        <v>0</v>
      </c>
      <c r="EI605" t="s">
        <v>3</v>
      </c>
      <c r="EJ605">
        <v>4</v>
      </c>
      <c r="EK605">
        <v>0</v>
      </c>
      <c r="EL605" t="s">
        <v>20</v>
      </c>
      <c r="EM605" t="s">
        <v>21</v>
      </c>
      <c r="EO605" t="s">
        <v>3</v>
      </c>
      <c r="EQ605">
        <v>0</v>
      </c>
      <c r="ER605">
        <v>2048.79</v>
      </c>
      <c r="ES605">
        <v>4.97</v>
      </c>
      <c r="ET605">
        <v>0</v>
      </c>
      <c r="EU605">
        <v>0</v>
      </c>
      <c r="EV605">
        <v>2043.82</v>
      </c>
      <c r="EW605">
        <v>2.88</v>
      </c>
      <c r="EX605">
        <v>0</v>
      </c>
      <c r="EY605">
        <v>0</v>
      </c>
      <c r="FQ605">
        <v>0</v>
      </c>
      <c r="FR605">
        <f>ROUND(IF(BI605=3,GM605,0),2)</f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1776814538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>ROUND(IF(AND(BH605=3,BI605=3,FS605&lt;&gt;0),P605,0),2)</f>
        <v>0</v>
      </c>
      <c r="GM605">
        <f>ROUND(O605+X605+Y605+GK605,2)+GX605</f>
        <v>7367.69</v>
      </c>
      <c r="GN605">
        <f>IF(OR(BI605=0,BI605=1),GM605-GX605,0)</f>
        <v>0</v>
      </c>
      <c r="GO605">
        <f>IF(BI605=2,GM605-GX605,0)</f>
        <v>0</v>
      </c>
      <c r="GP605">
        <f>IF(BI605=4,GM605-GX605,0)</f>
        <v>7367.69</v>
      </c>
      <c r="GR605">
        <v>0</v>
      </c>
      <c r="GS605">
        <v>3</v>
      </c>
      <c r="GT605">
        <v>0</v>
      </c>
      <c r="GU605" t="s">
        <v>3</v>
      </c>
      <c r="GV605">
        <f>ROUND((GT605),6)</f>
        <v>0</v>
      </c>
      <c r="GW605">
        <v>1</v>
      </c>
      <c r="GX605">
        <f>ROUND(HC605*I605,2)</f>
        <v>0</v>
      </c>
      <c r="HA605">
        <v>0</v>
      </c>
      <c r="HB605">
        <v>0</v>
      </c>
      <c r="HC605">
        <f>GV605*GW605</f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ROW(EtalonRes!A390)</f>
        <v>390</v>
      </c>
      <c r="E606" t="s">
        <v>514</v>
      </c>
      <c r="F606" t="s">
        <v>515</v>
      </c>
      <c r="G606" t="s">
        <v>516</v>
      </c>
      <c r="H606" t="s">
        <v>31</v>
      </c>
      <c r="I606">
        <v>1</v>
      </c>
      <c r="J606">
        <v>0</v>
      </c>
      <c r="K606">
        <v>1</v>
      </c>
      <c r="O606">
        <f>ROUND(CP606,2)</f>
        <v>4367.26</v>
      </c>
      <c r="P606">
        <f>ROUND(CQ606*I606,2)</f>
        <v>9.94</v>
      </c>
      <c r="Q606">
        <f>ROUND(CR606*I606,2)</f>
        <v>0</v>
      </c>
      <c r="R606">
        <f>ROUND(CS606*I606,2)</f>
        <v>0</v>
      </c>
      <c r="S606">
        <f>ROUND(CT606*I606,2)</f>
        <v>4357.32</v>
      </c>
      <c r="T606">
        <f>ROUND(CU606*I606,2)</f>
        <v>0</v>
      </c>
      <c r="U606">
        <f>CV606*I606</f>
        <v>6.14</v>
      </c>
      <c r="V606">
        <f>CW606*I606</f>
        <v>0</v>
      </c>
      <c r="W606">
        <f>ROUND(CX606*I606,2)</f>
        <v>0</v>
      </c>
      <c r="X606">
        <f t="shared" si="523"/>
        <v>3050.12</v>
      </c>
      <c r="Y606">
        <f t="shared" si="523"/>
        <v>435.73</v>
      </c>
      <c r="AA606">
        <v>1471988752</v>
      </c>
      <c r="AB606">
        <f>ROUND((AC606+AD606+AF606),6)</f>
        <v>4367.26</v>
      </c>
      <c r="AC606">
        <f>ROUND(((ES606*2)),6)</f>
        <v>9.94</v>
      </c>
      <c r="AD606">
        <f>ROUND(((((ET606*2))-((EU606*2)))+AE606),6)</f>
        <v>0</v>
      </c>
      <c r="AE606">
        <f t="shared" si="524"/>
        <v>0</v>
      </c>
      <c r="AF606">
        <f t="shared" si="524"/>
        <v>4357.32</v>
      </c>
      <c r="AG606">
        <f>ROUND((AP606),6)</f>
        <v>0</v>
      </c>
      <c r="AH606">
        <f t="shared" si="525"/>
        <v>6.14</v>
      </c>
      <c r="AI606">
        <f t="shared" si="525"/>
        <v>0</v>
      </c>
      <c r="AJ606">
        <f>(AS606)</f>
        <v>0</v>
      </c>
      <c r="AK606">
        <v>2183.63</v>
      </c>
      <c r="AL606">
        <v>4.97</v>
      </c>
      <c r="AM606">
        <v>0</v>
      </c>
      <c r="AN606">
        <v>0</v>
      </c>
      <c r="AO606">
        <v>2178.66</v>
      </c>
      <c r="AP606">
        <v>0</v>
      </c>
      <c r="AQ606">
        <v>3.07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517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>(P606+Q606+S606)</f>
        <v>4367.2599999999993</v>
      </c>
      <c r="CQ606">
        <f>(AC606*BC606*AW606)</f>
        <v>9.94</v>
      </c>
      <c r="CR606">
        <f>(((((ET606*2))*BB606-((EU606*2))*BS606)+AE606*BS606)*AV606)</f>
        <v>0</v>
      </c>
      <c r="CS606">
        <f>(AE606*BS606*AV606)</f>
        <v>0</v>
      </c>
      <c r="CT606">
        <f>(AF606*BA606*AV606)</f>
        <v>4357.32</v>
      </c>
      <c r="CU606">
        <f>AG606</f>
        <v>0</v>
      </c>
      <c r="CV606">
        <f>(AH606*AV606)</f>
        <v>6.14</v>
      </c>
      <c r="CW606">
        <f t="shared" si="526"/>
        <v>0</v>
      </c>
      <c r="CX606">
        <f t="shared" si="526"/>
        <v>0</v>
      </c>
      <c r="CY606">
        <f>((S606*BZ606)/100)</f>
        <v>3050.1239999999998</v>
      </c>
      <c r="CZ606">
        <f>((S606*CA606)/100)</f>
        <v>435.73199999999997</v>
      </c>
      <c r="DC606" t="s">
        <v>3</v>
      </c>
      <c r="DD606" t="s">
        <v>117</v>
      </c>
      <c r="DE606" t="s">
        <v>117</v>
      </c>
      <c r="DF606" t="s">
        <v>117</v>
      </c>
      <c r="DG606" t="s">
        <v>117</v>
      </c>
      <c r="DH606" t="s">
        <v>3</v>
      </c>
      <c r="DI606" t="s">
        <v>117</v>
      </c>
      <c r="DJ606" t="s">
        <v>117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31</v>
      </c>
      <c r="DW606" t="s">
        <v>31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19</v>
      </c>
      <c r="EH606">
        <v>0</v>
      </c>
      <c r="EI606" t="s">
        <v>3</v>
      </c>
      <c r="EJ606">
        <v>4</v>
      </c>
      <c r="EK606">
        <v>0</v>
      </c>
      <c r="EL606" t="s">
        <v>20</v>
      </c>
      <c r="EM606" t="s">
        <v>21</v>
      </c>
      <c r="EO606" t="s">
        <v>3</v>
      </c>
      <c r="EQ606">
        <v>0</v>
      </c>
      <c r="ER606">
        <v>2183.63</v>
      </c>
      <c r="ES606">
        <v>4.97</v>
      </c>
      <c r="ET606">
        <v>0</v>
      </c>
      <c r="EU606">
        <v>0</v>
      </c>
      <c r="EV606">
        <v>2178.66</v>
      </c>
      <c r="EW606">
        <v>3.07</v>
      </c>
      <c r="EX606">
        <v>0</v>
      </c>
      <c r="EY606">
        <v>0</v>
      </c>
      <c r="FQ606">
        <v>0</v>
      </c>
      <c r="FR606">
        <f>ROUND(IF(BI606=3,GM606,0),2)</f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627329446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>ROUND(IF(AND(BH606=3,BI606=3,FS606&lt;&gt;0),P606,0),2)</f>
        <v>0</v>
      </c>
      <c r="GM606">
        <f>ROUND(O606+X606+Y606+GK606,2)+GX606</f>
        <v>7853.11</v>
      </c>
      <c r="GN606">
        <f>IF(OR(BI606=0,BI606=1),GM606-GX606,0)</f>
        <v>0</v>
      </c>
      <c r="GO606">
        <f>IF(BI606=2,GM606-GX606,0)</f>
        <v>0</v>
      </c>
      <c r="GP606">
        <f>IF(BI606=4,GM606-GX606,0)</f>
        <v>7853.11</v>
      </c>
      <c r="GR606">
        <v>0</v>
      </c>
      <c r="GS606">
        <v>3</v>
      </c>
      <c r="GT606">
        <v>0</v>
      </c>
      <c r="GU606" t="s">
        <v>3</v>
      </c>
      <c r="GV606">
        <f>ROUND((GT606),6)</f>
        <v>0</v>
      </c>
      <c r="GW606">
        <v>1</v>
      </c>
      <c r="GX606">
        <f>ROUND(HC606*I606,2)</f>
        <v>0</v>
      </c>
      <c r="HA606">
        <v>0</v>
      </c>
      <c r="HB606">
        <v>0</v>
      </c>
      <c r="HC606">
        <f>GV606*GW606</f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8" spans="1:245" x14ac:dyDescent="0.2">
      <c r="A608" s="2">
        <v>51</v>
      </c>
      <c r="B608" s="2">
        <f>B598</f>
        <v>1</v>
      </c>
      <c r="C608" s="2">
        <f>A598</f>
        <v>5</v>
      </c>
      <c r="D608" s="2">
        <f>ROW(A598)</f>
        <v>598</v>
      </c>
      <c r="E608" s="2"/>
      <c r="F608" s="2" t="str">
        <f>IF(F598&lt;&gt;"",F598,"")</f>
        <v>Новый подраздел</v>
      </c>
      <c r="G608" s="2" t="str">
        <f>IF(G598&lt;&gt;"",G598,"")</f>
        <v>5.1  Автоматизация системы отопления</v>
      </c>
      <c r="H608" s="2">
        <v>0</v>
      </c>
      <c r="I608" s="2"/>
      <c r="J608" s="2"/>
      <c r="K608" s="2"/>
      <c r="L608" s="2"/>
      <c r="M608" s="2"/>
      <c r="N608" s="2"/>
      <c r="O608" s="2">
        <f t="shared" ref="O608:T608" si="527">ROUND(AB608,2)</f>
        <v>15380.58</v>
      </c>
      <c r="P608" s="2">
        <f t="shared" si="527"/>
        <v>29.82</v>
      </c>
      <c r="Q608" s="2">
        <f t="shared" si="527"/>
        <v>0</v>
      </c>
      <c r="R608" s="2">
        <f t="shared" si="527"/>
        <v>0</v>
      </c>
      <c r="S608" s="2">
        <f t="shared" si="527"/>
        <v>15350.76</v>
      </c>
      <c r="T608" s="2">
        <f t="shared" si="527"/>
        <v>0</v>
      </c>
      <c r="U608" s="2">
        <f>AH608</f>
        <v>21.66</v>
      </c>
      <c r="V608" s="2">
        <f>AI608</f>
        <v>0</v>
      </c>
      <c r="W608" s="2">
        <f>ROUND(AJ608,2)</f>
        <v>0</v>
      </c>
      <c r="X608" s="2">
        <f>ROUND(AK608,2)</f>
        <v>10745.54</v>
      </c>
      <c r="Y608" s="2">
        <f>ROUND(AL608,2)</f>
        <v>1535.07</v>
      </c>
      <c r="Z608" s="2"/>
      <c r="AA608" s="2"/>
      <c r="AB608" s="2">
        <f>ROUND(SUMIF(AA602:AA606,"=1471988752",O602:O606),2)</f>
        <v>15380.58</v>
      </c>
      <c r="AC608" s="2">
        <f>ROUND(SUMIF(AA602:AA606,"=1471988752",P602:P606),2)</f>
        <v>29.82</v>
      </c>
      <c r="AD608" s="2">
        <f>ROUND(SUMIF(AA602:AA606,"=1471988752",Q602:Q606),2)</f>
        <v>0</v>
      </c>
      <c r="AE608" s="2">
        <f>ROUND(SUMIF(AA602:AA606,"=1471988752",R602:R606),2)</f>
        <v>0</v>
      </c>
      <c r="AF608" s="2">
        <f>ROUND(SUMIF(AA602:AA606,"=1471988752",S602:S606),2)</f>
        <v>15350.76</v>
      </c>
      <c r="AG608" s="2">
        <f>ROUND(SUMIF(AA602:AA606,"=1471988752",T602:T606),2)</f>
        <v>0</v>
      </c>
      <c r="AH608" s="2">
        <f>SUMIF(AA602:AA606,"=1471988752",U602:U606)</f>
        <v>21.66</v>
      </c>
      <c r="AI608" s="2">
        <f>SUMIF(AA602:AA606,"=1471988752",V602:V606)</f>
        <v>0</v>
      </c>
      <c r="AJ608" s="2">
        <f>ROUND(SUMIF(AA602:AA606,"=1471988752",W602:W606),2)</f>
        <v>0</v>
      </c>
      <c r="AK608" s="2">
        <f>ROUND(SUMIF(AA602:AA606,"=1471988752",X602:X606),2)</f>
        <v>10745.54</v>
      </c>
      <c r="AL608" s="2">
        <f>ROUND(SUMIF(AA602:AA606,"=1471988752",Y602:Y606),2)</f>
        <v>1535.07</v>
      </c>
      <c r="AM608" s="2"/>
      <c r="AN608" s="2"/>
      <c r="AO608" s="2">
        <f t="shared" ref="AO608:BD608" si="528">ROUND(BX608,2)</f>
        <v>0</v>
      </c>
      <c r="AP608" s="2">
        <f t="shared" si="528"/>
        <v>0</v>
      </c>
      <c r="AQ608" s="2">
        <f t="shared" si="528"/>
        <v>0</v>
      </c>
      <c r="AR608" s="2">
        <f t="shared" si="528"/>
        <v>27661.19</v>
      </c>
      <c r="AS608" s="2">
        <f t="shared" si="528"/>
        <v>0</v>
      </c>
      <c r="AT608" s="2">
        <f t="shared" si="528"/>
        <v>0</v>
      </c>
      <c r="AU608" s="2">
        <f t="shared" si="528"/>
        <v>27661.19</v>
      </c>
      <c r="AV608" s="2">
        <f t="shared" si="528"/>
        <v>29.82</v>
      </c>
      <c r="AW608" s="2">
        <f t="shared" si="528"/>
        <v>29.82</v>
      </c>
      <c r="AX608" s="2">
        <f t="shared" si="528"/>
        <v>0</v>
      </c>
      <c r="AY608" s="2">
        <f t="shared" si="528"/>
        <v>29.82</v>
      </c>
      <c r="AZ608" s="2">
        <f t="shared" si="528"/>
        <v>0</v>
      </c>
      <c r="BA608" s="2">
        <f t="shared" si="528"/>
        <v>0</v>
      </c>
      <c r="BB608" s="2">
        <f t="shared" si="528"/>
        <v>0</v>
      </c>
      <c r="BC608" s="2">
        <f t="shared" si="528"/>
        <v>0</v>
      </c>
      <c r="BD608" s="2">
        <f t="shared" si="528"/>
        <v>0</v>
      </c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>
        <f>ROUND(SUMIF(AA602:AA606,"=1471988752",FQ602:FQ606),2)</f>
        <v>0</v>
      </c>
      <c r="BY608" s="2">
        <f>ROUND(SUMIF(AA602:AA606,"=1471988752",FR602:FR606),2)</f>
        <v>0</v>
      </c>
      <c r="BZ608" s="2">
        <f>ROUND(SUMIF(AA602:AA606,"=1471988752",GL602:GL606),2)</f>
        <v>0</v>
      </c>
      <c r="CA608" s="2">
        <f>ROUND(SUMIF(AA602:AA606,"=1471988752",GM602:GM606),2)</f>
        <v>27661.19</v>
      </c>
      <c r="CB608" s="2">
        <f>ROUND(SUMIF(AA602:AA606,"=1471988752",GN602:GN606),2)</f>
        <v>0</v>
      </c>
      <c r="CC608" s="2">
        <f>ROUND(SUMIF(AA602:AA606,"=1471988752",GO602:GO606),2)</f>
        <v>0</v>
      </c>
      <c r="CD608" s="2">
        <f>ROUND(SUMIF(AA602:AA606,"=1471988752",GP602:GP606),2)</f>
        <v>27661.19</v>
      </c>
      <c r="CE608" s="2">
        <f>AC608-BX608</f>
        <v>29.82</v>
      </c>
      <c r="CF608" s="2">
        <f>AC608-BY608</f>
        <v>29.82</v>
      </c>
      <c r="CG608" s="2">
        <f>BX608-BZ608</f>
        <v>0</v>
      </c>
      <c r="CH608" s="2">
        <f>AC608-BX608-BY608+BZ608</f>
        <v>29.82</v>
      </c>
      <c r="CI608" s="2">
        <f>BY608-BZ608</f>
        <v>0</v>
      </c>
      <c r="CJ608" s="2">
        <f>ROUND(SUMIF(AA602:AA606,"=1471988752",GX602:GX606),2)</f>
        <v>0</v>
      </c>
      <c r="CK608" s="2">
        <f>ROUND(SUMIF(AA602:AA606,"=1471988752",GY602:GY606),2)</f>
        <v>0</v>
      </c>
      <c r="CL608" s="2">
        <f>ROUND(SUMIF(AA602:AA606,"=1471988752",GZ602:GZ606),2)</f>
        <v>0</v>
      </c>
      <c r="CM608" s="2">
        <f>ROUND(SUMIF(AA602:AA606,"=1471988752",HD602:HD606),2)</f>
        <v>0</v>
      </c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3"/>
      <c r="DH608" s="3"/>
      <c r="DI608" s="3"/>
      <c r="DJ608" s="3"/>
      <c r="DK608" s="3"/>
      <c r="DL608" s="3"/>
      <c r="DM608" s="3"/>
      <c r="DN608" s="3"/>
      <c r="DO608" s="3"/>
      <c r="DP608" s="3"/>
      <c r="DQ608" s="3"/>
      <c r="DR608" s="3"/>
      <c r="DS608" s="3"/>
      <c r="DT608" s="3"/>
      <c r="DU608" s="3"/>
      <c r="DV608" s="3"/>
      <c r="DW608" s="3"/>
      <c r="DX608" s="3"/>
      <c r="DY608" s="3"/>
      <c r="DZ608" s="3"/>
      <c r="EA608" s="3"/>
      <c r="EB608" s="3"/>
      <c r="EC608" s="3"/>
      <c r="ED608" s="3"/>
      <c r="EE608" s="3"/>
      <c r="EF608" s="3"/>
      <c r="EG608" s="3"/>
      <c r="EH608" s="3"/>
      <c r="EI608" s="3"/>
      <c r="EJ608" s="3"/>
      <c r="EK608" s="3"/>
      <c r="EL608" s="3"/>
      <c r="EM608" s="3"/>
      <c r="EN608" s="3"/>
      <c r="EO608" s="3"/>
      <c r="EP608" s="3"/>
      <c r="EQ608" s="3"/>
      <c r="ER608" s="3"/>
      <c r="ES608" s="3"/>
      <c r="ET608" s="3"/>
      <c r="EU608" s="3"/>
      <c r="EV608" s="3"/>
      <c r="EW608" s="3"/>
      <c r="EX608" s="3"/>
      <c r="EY608" s="3"/>
      <c r="EZ608" s="3"/>
      <c r="FA608" s="3"/>
      <c r="FB608" s="3"/>
      <c r="FC608" s="3"/>
      <c r="FD608" s="3"/>
      <c r="FE608" s="3"/>
      <c r="FF608" s="3"/>
      <c r="FG608" s="3"/>
      <c r="FH608" s="3"/>
      <c r="FI608" s="3"/>
      <c r="FJ608" s="3"/>
      <c r="FK608" s="3"/>
      <c r="FL608" s="3"/>
      <c r="FM608" s="3"/>
      <c r="FN608" s="3"/>
      <c r="FO608" s="3"/>
      <c r="FP608" s="3"/>
      <c r="FQ608" s="3"/>
      <c r="FR608" s="3"/>
      <c r="FS608" s="3"/>
      <c r="FT608" s="3"/>
      <c r="FU608" s="3"/>
      <c r="FV608" s="3"/>
      <c r="FW608" s="3"/>
      <c r="FX608" s="3"/>
      <c r="FY608" s="3"/>
      <c r="FZ608" s="3"/>
      <c r="GA608" s="3"/>
      <c r="GB608" s="3"/>
      <c r="GC608" s="3"/>
      <c r="GD608" s="3"/>
      <c r="GE608" s="3"/>
      <c r="GF608" s="3"/>
      <c r="GG608" s="3"/>
      <c r="GH608" s="3"/>
      <c r="GI608" s="3"/>
      <c r="GJ608" s="3"/>
      <c r="GK608" s="3"/>
      <c r="GL608" s="3"/>
      <c r="GM608" s="3"/>
      <c r="GN608" s="3"/>
      <c r="GO608" s="3"/>
      <c r="GP608" s="3"/>
      <c r="GQ608" s="3"/>
      <c r="GR608" s="3"/>
      <c r="GS608" s="3"/>
      <c r="GT608" s="3"/>
      <c r="GU608" s="3"/>
      <c r="GV608" s="3"/>
      <c r="GW608" s="3"/>
      <c r="GX608" s="3">
        <v>0</v>
      </c>
    </row>
    <row r="610" spans="1:28" x14ac:dyDescent="0.2">
      <c r="A610" s="4">
        <v>50</v>
      </c>
      <c r="B610" s="4">
        <v>0</v>
      </c>
      <c r="C610" s="4">
        <v>0</v>
      </c>
      <c r="D610" s="4">
        <v>1</v>
      </c>
      <c r="E610" s="4">
        <v>201</v>
      </c>
      <c r="F610" s="4">
        <f>ROUND(Source!O608,O610)</f>
        <v>15380.58</v>
      </c>
      <c r="G610" s="4" t="s">
        <v>45</v>
      </c>
      <c r="H610" s="4" t="s">
        <v>46</v>
      </c>
      <c r="I610" s="4"/>
      <c r="J610" s="4"/>
      <c r="K610" s="4">
        <v>201</v>
      </c>
      <c r="L610" s="4">
        <v>1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15380.58</v>
      </c>
      <c r="X610" s="4">
        <v>1</v>
      </c>
      <c r="Y610" s="4">
        <v>15380.58</v>
      </c>
      <c r="Z610" s="4"/>
      <c r="AA610" s="4"/>
      <c r="AB610" s="4"/>
    </row>
    <row r="611" spans="1:28" x14ac:dyDescent="0.2">
      <c r="A611" s="4">
        <v>50</v>
      </c>
      <c r="B611" s="4">
        <v>0</v>
      </c>
      <c r="C611" s="4">
        <v>0</v>
      </c>
      <c r="D611" s="4">
        <v>1</v>
      </c>
      <c r="E611" s="4">
        <v>202</v>
      </c>
      <c r="F611" s="4">
        <f>ROUND(Source!P608,O611)</f>
        <v>29.82</v>
      </c>
      <c r="G611" s="4" t="s">
        <v>47</v>
      </c>
      <c r="H611" s="4" t="s">
        <v>48</v>
      </c>
      <c r="I611" s="4"/>
      <c r="J611" s="4"/>
      <c r="K611" s="4">
        <v>202</v>
      </c>
      <c r="L611" s="4">
        <v>2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29.82</v>
      </c>
      <c r="X611" s="4">
        <v>1</v>
      </c>
      <c r="Y611" s="4">
        <v>29.82</v>
      </c>
      <c r="Z611" s="4"/>
      <c r="AA611" s="4"/>
      <c r="AB611" s="4"/>
    </row>
    <row r="612" spans="1:28" x14ac:dyDescent="0.2">
      <c r="A612" s="4">
        <v>50</v>
      </c>
      <c r="B612" s="4">
        <v>0</v>
      </c>
      <c r="C612" s="4">
        <v>0</v>
      </c>
      <c r="D612" s="4">
        <v>1</v>
      </c>
      <c r="E612" s="4">
        <v>222</v>
      </c>
      <c r="F612" s="4">
        <f>ROUND(Source!AO608,O612)</f>
        <v>0</v>
      </c>
      <c r="G612" s="4" t="s">
        <v>49</v>
      </c>
      <c r="H612" s="4" t="s">
        <v>50</v>
      </c>
      <c r="I612" s="4"/>
      <c r="J612" s="4"/>
      <c r="K612" s="4">
        <v>222</v>
      </c>
      <c r="L612" s="4">
        <v>3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0</v>
      </c>
      <c r="X612" s="4">
        <v>1</v>
      </c>
      <c r="Y612" s="4">
        <v>0</v>
      </c>
      <c r="Z612" s="4"/>
      <c r="AA612" s="4"/>
      <c r="AB612" s="4"/>
    </row>
    <row r="613" spans="1:28" x14ac:dyDescent="0.2">
      <c r="A613" s="4">
        <v>50</v>
      </c>
      <c r="B613" s="4">
        <v>0</v>
      </c>
      <c r="C613" s="4">
        <v>0</v>
      </c>
      <c r="D613" s="4">
        <v>1</v>
      </c>
      <c r="E613" s="4">
        <v>225</v>
      </c>
      <c r="F613" s="4">
        <f>ROUND(Source!AV608,O613)</f>
        <v>29.82</v>
      </c>
      <c r="G613" s="4" t="s">
        <v>51</v>
      </c>
      <c r="H613" s="4" t="s">
        <v>52</v>
      </c>
      <c r="I613" s="4"/>
      <c r="J613" s="4"/>
      <c r="K613" s="4">
        <v>225</v>
      </c>
      <c r="L613" s="4">
        <v>4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29.82</v>
      </c>
      <c r="X613" s="4">
        <v>1</v>
      </c>
      <c r="Y613" s="4">
        <v>29.82</v>
      </c>
      <c r="Z613" s="4"/>
      <c r="AA613" s="4"/>
      <c r="AB613" s="4"/>
    </row>
    <row r="614" spans="1:28" x14ac:dyDescent="0.2">
      <c r="A614" s="4">
        <v>50</v>
      </c>
      <c r="B614" s="4">
        <v>0</v>
      </c>
      <c r="C614" s="4">
        <v>0</v>
      </c>
      <c r="D614" s="4">
        <v>1</v>
      </c>
      <c r="E614" s="4">
        <v>226</v>
      </c>
      <c r="F614" s="4">
        <f>ROUND(Source!AW608,O614)</f>
        <v>29.82</v>
      </c>
      <c r="G614" s="4" t="s">
        <v>53</v>
      </c>
      <c r="H614" s="4" t="s">
        <v>54</v>
      </c>
      <c r="I614" s="4"/>
      <c r="J614" s="4"/>
      <c r="K614" s="4">
        <v>226</v>
      </c>
      <c r="L614" s="4">
        <v>5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29.82</v>
      </c>
      <c r="X614" s="4">
        <v>1</v>
      </c>
      <c r="Y614" s="4">
        <v>29.82</v>
      </c>
      <c r="Z614" s="4"/>
      <c r="AA614" s="4"/>
      <c r="AB614" s="4"/>
    </row>
    <row r="615" spans="1:28" x14ac:dyDescent="0.2">
      <c r="A615" s="4">
        <v>50</v>
      </c>
      <c r="B615" s="4">
        <v>0</v>
      </c>
      <c r="C615" s="4">
        <v>0</v>
      </c>
      <c r="D615" s="4">
        <v>1</v>
      </c>
      <c r="E615" s="4">
        <v>227</v>
      </c>
      <c r="F615" s="4">
        <f>ROUND(Source!AX608,O615)</f>
        <v>0</v>
      </c>
      <c r="G615" s="4" t="s">
        <v>55</v>
      </c>
      <c r="H615" s="4" t="s">
        <v>56</v>
      </c>
      <c r="I615" s="4"/>
      <c r="J615" s="4"/>
      <c r="K615" s="4">
        <v>227</v>
      </c>
      <c r="L615" s="4">
        <v>6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0</v>
      </c>
      <c r="X615" s="4">
        <v>1</v>
      </c>
      <c r="Y615" s="4">
        <v>0</v>
      </c>
      <c r="Z615" s="4"/>
      <c r="AA615" s="4"/>
      <c r="AB615" s="4"/>
    </row>
    <row r="616" spans="1:28" x14ac:dyDescent="0.2">
      <c r="A616" s="4">
        <v>50</v>
      </c>
      <c r="B616" s="4">
        <v>0</v>
      </c>
      <c r="C616" s="4">
        <v>0</v>
      </c>
      <c r="D616" s="4">
        <v>1</v>
      </c>
      <c r="E616" s="4">
        <v>228</v>
      </c>
      <c r="F616" s="4">
        <f>ROUND(Source!AY608,O616)</f>
        <v>29.82</v>
      </c>
      <c r="G616" s="4" t="s">
        <v>57</v>
      </c>
      <c r="H616" s="4" t="s">
        <v>58</v>
      </c>
      <c r="I616" s="4"/>
      <c r="J616" s="4"/>
      <c r="K616" s="4">
        <v>228</v>
      </c>
      <c r="L616" s="4">
        <v>7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29.82</v>
      </c>
      <c r="X616" s="4">
        <v>1</v>
      </c>
      <c r="Y616" s="4">
        <v>29.82</v>
      </c>
      <c r="Z616" s="4"/>
      <c r="AA616" s="4"/>
      <c r="AB616" s="4"/>
    </row>
    <row r="617" spans="1:28" x14ac:dyDescent="0.2">
      <c r="A617" s="4">
        <v>50</v>
      </c>
      <c r="B617" s="4">
        <v>0</v>
      </c>
      <c r="C617" s="4">
        <v>0</v>
      </c>
      <c r="D617" s="4">
        <v>1</v>
      </c>
      <c r="E617" s="4">
        <v>216</v>
      </c>
      <c r="F617" s="4">
        <f>ROUND(Source!AP608,O617)</f>
        <v>0</v>
      </c>
      <c r="G617" s="4" t="s">
        <v>59</v>
      </c>
      <c r="H617" s="4" t="s">
        <v>60</v>
      </c>
      <c r="I617" s="4"/>
      <c r="J617" s="4"/>
      <c r="K617" s="4">
        <v>216</v>
      </c>
      <c r="L617" s="4">
        <v>8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8" x14ac:dyDescent="0.2">
      <c r="A618" s="4">
        <v>50</v>
      </c>
      <c r="B618" s="4">
        <v>0</v>
      </c>
      <c r="C618" s="4">
        <v>0</v>
      </c>
      <c r="D618" s="4">
        <v>1</v>
      </c>
      <c r="E618" s="4">
        <v>223</v>
      </c>
      <c r="F618" s="4">
        <f>ROUND(Source!AQ608,O618)</f>
        <v>0</v>
      </c>
      <c r="G618" s="4" t="s">
        <v>61</v>
      </c>
      <c r="H618" s="4" t="s">
        <v>62</v>
      </c>
      <c r="I618" s="4"/>
      <c r="J618" s="4"/>
      <c r="K618" s="4">
        <v>223</v>
      </c>
      <c r="L618" s="4">
        <v>9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8" x14ac:dyDescent="0.2">
      <c r="A619" s="4">
        <v>50</v>
      </c>
      <c r="B619" s="4">
        <v>0</v>
      </c>
      <c r="C619" s="4">
        <v>0</v>
      </c>
      <c r="D619" s="4">
        <v>1</v>
      </c>
      <c r="E619" s="4">
        <v>229</v>
      </c>
      <c r="F619" s="4">
        <f>ROUND(Source!AZ608,O619)</f>
        <v>0</v>
      </c>
      <c r="G619" s="4" t="s">
        <v>63</v>
      </c>
      <c r="H619" s="4" t="s">
        <v>64</v>
      </c>
      <c r="I619" s="4"/>
      <c r="J619" s="4"/>
      <c r="K619" s="4">
        <v>229</v>
      </c>
      <c r="L619" s="4">
        <v>10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8" x14ac:dyDescent="0.2">
      <c r="A620" s="4">
        <v>50</v>
      </c>
      <c r="B620" s="4">
        <v>0</v>
      </c>
      <c r="C620" s="4">
        <v>0</v>
      </c>
      <c r="D620" s="4">
        <v>1</v>
      </c>
      <c r="E620" s="4">
        <v>203</v>
      </c>
      <c r="F620" s="4">
        <f>ROUND(Source!Q608,O620)</f>
        <v>0</v>
      </c>
      <c r="G620" s="4" t="s">
        <v>65</v>
      </c>
      <c r="H620" s="4" t="s">
        <v>66</v>
      </c>
      <c r="I620" s="4"/>
      <c r="J620" s="4"/>
      <c r="K620" s="4">
        <v>203</v>
      </c>
      <c r="L620" s="4">
        <v>11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8" x14ac:dyDescent="0.2">
      <c r="A621" s="4">
        <v>50</v>
      </c>
      <c r="B621" s="4">
        <v>0</v>
      </c>
      <c r="C621" s="4">
        <v>0</v>
      </c>
      <c r="D621" s="4">
        <v>1</v>
      </c>
      <c r="E621" s="4">
        <v>231</v>
      </c>
      <c r="F621" s="4">
        <f>ROUND(Source!BB608,O621)</f>
        <v>0</v>
      </c>
      <c r="G621" s="4" t="s">
        <v>67</v>
      </c>
      <c r="H621" s="4" t="s">
        <v>68</v>
      </c>
      <c r="I621" s="4"/>
      <c r="J621" s="4"/>
      <c r="K621" s="4">
        <v>231</v>
      </c>
      <c r="L621" s="4">
        <v>12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8" x14ac:dyDescent="0.2">
      <c r="A622" s="4">
        <v>50</v>
      </c>
      <c r="B622" s="4">
        <v>0</v>
      </c>
      <c r="C622" s="4">
        <v>0</v>
      </c>
      <c r="D622" s="4">
        <v>1</v>
      </c>
      <c r="E622" s="4">
        <v>204</v>
      </c>
      <c r="F622" s="4">
        <f>ROUND(Source!R608,O622)</f>
        <v>0</v>
      </c>
      <c r="G622" s="4" t="s">
        <v>69</v>
      </c>
      <c r="H622" s="4" t="s">
        <v>70</v>
      </c>
      <c r="I622" s="4"/>
      <c r="J622" s="4"/>
      <c r="K622" s="4">
        <v>204</v>
      </c>
      <c r="L622" s="4">
        <v>13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8" x14ac:dyDescent="0.2">
      <c r="A623" s="4">
        <v>50</v>
      </c>
      <c r="B623" s="4">
        <v>0</v>
      </c>
      <c r="C623" s="4">
        <v>0</v>
      </c>
      <c r="D623" s="4">
        <v>1</v>
      </c>
      <c r="E623" s="4">
        <v>205</v>
      </c>
      <c r="F623" s="4">
        <f>ROUND(Source!S608,O623)</f>
        <v>15350.76</v>
      </c>
      <c r="G623" s="4" t="s">
        <v>71</v>
      </c>
      <c r="H623" s="4" t="s">
        <v>72</v>
      </c>
      <c r="I623" s="4"/>
      <c r="J623" s="4"/>
      <c r="K623" s="4">
        <v>205</v>
      </c>
      <c r="L623" s="4">
        <v>14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15350.76</v>
      </c>
      <c r="X623" s="4">
        <v>1</v>
      </c>
      <c r="Y623" s="4">
        <v>15350.76</v>
      </c>
      <c r="Z623" s="4"/>
      <c r="AA623" s="4"/>
      <c r="AB623" s="4"/>
    </row>
    <row r="624" spans="1:28" x14ac:dyDescent="0.2">
      <c r="A624" s="4">
        <v>50</v>
      </c>
      <c r="B624" s="4">
        <v>0</v>
      </c>
      <c r="C624" s="4">
        <v>0</v>
      </c>
      <c r="D624" s="4">
        <v>1</v>
      </c>
      <c r="E624" s="4">
        <v>232</v>
      </c>
      <c r="F624" s="4">
        <f>ROUND(Source!BC608,O624)</f>
        <v>0</v>
      </c>
      <c r="G624" s="4" t="s">
        <v>73</v>
      </c>
      <c r="H624" s="4" t="s">
        <v>74</v>
      </c>
      <c r="I624" s="4"/>
      <c r="J624" s="4"/>
      <c r="K624" s="4">
        <v>232</v>
      </c>
      <c r="L624" s="4">
        <v>15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06" x14ac:dyDescent="0.2">
      <c r="A625" s="4">
        <v>50</v>
      </c>
      <c r="B625" s="4">
        <v>0</v>
      </c>
      <c r="C625" s="4">
        <v>0</v>
      </c>
      <c r="D625" s="4">
        <v>1</v>
      </c>
      <c r="E625" s="4">
        <v>214</v>
      </c>
      <c r="F625" s="4">
        <f>ROUND(Source!AS608,O625)</f>
        <v>0</v>
      </c>
      <c r="G625" s="4" t="s">
        <v>75</v>
      </c>
      <c r="H625" s="4" t="s">
        <v>76</v>
      </c>
      <c r="I625" s="4"/>
      <c r="J625" s="4"/>
      <c r="K625" s="4">
        <v>214</v>
      </c>
      <c r="L625" s="4">
        <v>16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06" x14ac:dyDescent="0.2">
      <c r="A626" s="4">
        <v>50</v>
      </c>
      <c r="B626" s="4">
        <v>0</v>
      </c>
      <c r="C626" s="4">
        <v>0</v>
      </c>
      <c r="D626" s="4">
        <v>1</v>
      </c>
      <c r="E626" s="4">
        <v>215</v>
      </c>
      <c r="F626" s="4">
        <f>ROUND(Source!AT608,O626)</f>
        <v>0</v>
      </c>
      <c r="G626" s="4" t="s">
        <v>77</v>
      </c>
      <c r="H626" s="4" t="s">
        <v>78</v>
      </c>
      <c r="I626" s="4"/>
      <c r="J626" s="4"/>
      <c r="K626" s="4">
        <v>215</v>
      </c>
      <c r="L626" s="4">
        <v>17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06" x14ac:dyDescent="0.2">
      <c r="A627" s="4">
        <v>50</v>
      </c>
      <c r="B627" s="4">
        <v>0</v>
      </c>
      <c r="C627" s="4">
        <v>0</v>
      </c>
      <c r="D627" s="4">
        <v>1</v>
      </c>
      <c r="E627" s="4">
        <v>217</v>
      </c>
      <c r="F627" s="4">
        <f>ROUND(Source!AU608,O627)</f>
        <v>27661.19</v>
      </c>
      <c r="G627" s="4" t="s">
        <v>79</v>
      </c>
      <c r="H627" s="4" t="s">
        <v>80</v>
      </c>
      <c r="I627" s="4"/>
      <c r="J627" s="4"/>
      <c r="K627" s="4">
        <v>217</v>
      </c>
      <c r="L627" s="4">
        <v>18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27661.19</v>
      </c>
      <c r="X627" s="4">
        <v>1</v>
      </c>
      <c r="Y627" s="4">
        <v>27661.19</v>
      </c>
      <c r="Z627" s="4"/>
      <c r="AA627" s="4"/>
      <c r="AB627" s="4"/>
    </row>
    <row r="628" spans="1:206" x14ac:dyDescent="0.2">
      <c r="A628" s="4">
        <v>50</v>
      </c>
      <c r="B628" s="4">
        <v>0</v>
      </c>
      <c r="C628" s="4">
        <v>0</v>
      </c>
      <c r="D628" s="4">
        <v>1</v>
      </c>
      <c r="E628" s="4">
        <v>230</v>
      </c>
      <c r="F628" s="4">
        <f>ROUND(Source!BA608,O628)</f>
        <v>0</v>
      </c>
      <c r="G628" s="4" t="s">
        <v>81</v>
      </c>
      <c r="H628" s="4" t="s">
        <v>82</v>
      </c>
      <c r="I628" s="4"/>
      <c r="J628" s="4"/>
      <c r="K628" s="4">
        <v>230</v>
      </c>
      <c r="L628" s="4">
        <v>19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06" x14ac:dyDescent="0.2">
      <c r="A629" s="4">
        <v>50</v>
      </c>
      <c r="B629" s="4">
        <v>0</v>
      </c>
      <c r="C629" s="4">
        <v>0</v>
      </c>
      <c r="D629" s="4">
        <v>1</v>
      </c>
      <c r="E629" s="4">
        <v>206</v>
      </c>
      <c r="F629" s="4">
        <f>ROUND(Source!T608,O629)</f>
        <v>0</v>
      </c>
      <c r="G629" s="4" t="s">
        <v>83</v>
      </c>
      <c r="H629" s="4" t="s">
        <v>84</v>
      </c>
      <c r="I629" s="4"/>
      <c r="J629" s="4"/>
      <c r="K629" s="4">
        <v>206</v>
      </c>
      <c r="L629" s="4">
        <v>20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06" x14ac:dyDescent="0.2">
      <c r="A630" s="4">
        <v>50</v>
      </c>
      <c r="B630" s="4">
        <v>0</v>
      </c>
      <c r="C630" s="4">
        <v>0</v>
      </c>
      <c r="D630" s="4">
        <v>1</v>
      </c>
      <c r="E630" s="4">
        <v>207</v>
      </c>
      <c r="F630" s="4">
        <f>Source!U608</f>
        <v>21.66</v>
      </c>
      <c r="G630" s="4" t="s">
        <v>85</v>
      </c>
      <c r="H630" s="4" t="s">
        <v>86</v>
      </c>
      <c r="I630" s="4"/>
      <c r="J630" s="4"/>
      <c r="K630" s="4">
        <v>207</v>
      </c>
      <c r="L630" s="4">
        <v>21</v>
      </c>
      <c r="M630" s="4">
        <v>3</v>
      </c>
      <c r="N630" s="4" t="s">
        <v>3</v>
      </c>
      <c r="O630" s="4">
        <v>-1</v>
      </c>
      <c r="P630" s="4"/>
      <c r="Q630" s="4"/>
      <c r="R630" s="4"/>
      <c r="S630" s="4"/>
      <c r="T630" s="4"/>
      <c r="U630" s="4"/>
      <c r="V630" s="4"/>
      <c r="W630" s="4">
        <v>21.66</v>
      </c>
      <c r="X630" s="4">
        <v>1</v>
      </c>
      <c r="Y630" s="4">
        <v>21.66</v>
      </c>
      <c r="Z630" s="4"/>
      <c r="AA630" s="4"/>
      <c r="AB630" s="4"/>
    </row>
    <row r="631" spans="1:206" x14ac:dyDescent="0.2">
      <c r="A631" s="4">
        <v>50</v>
      </c>
      <c r="B631" s="4">
        <v>0</v>
      </c>
      <c r="C631" s="4">
        <v>0</v>
      </c>
      <c r="D631" s="4">
        <v>1</v>
      </c>
      <c r="E631" s="4">
        <v>208</v>
      </c>
      <c r="F631" s="4">
        <f>Source!V608</f>
        <v>0</v>
      </c>
      <c r="G631" s="4" t="s">
        <v>87</v>
      </c>
      <c r="H631" s="4" t="s">
        <v>88</v>
      </c>
      <c r="I631" s="4"/>
      <c r="J631" s="4"/>
      <c r="K631" s="4">
        <v>208</v>
      </c>
      <c r="L631" s="4">
        <v>22</v>
      </c>
      <c r="M631" s="4">
        <v>3</v>
      </c>
      <c r="N631" s="4" t="s">
        <v>3</v>
      </c>
      <c r="O631" s="4">
        <v>-1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06" x14ac:dyDescent="0.2">
      <c r="A632" s="4">
        <v>50</v>
      </c>
      <c r="B632" s="4">
        <v>0</v>
      </c>
      <c r="C632" s="4">
        <v>0</v>
      </c>
      <c r="D632" s="4">
        <v>1</v>
      </c>
      <c r="E632" s="4">
        <v>209</v>
      </c>
      <c r="F632" s="4">
        <f>ROUND(Source!W608,O632)</f>
        <v>0</v>
      </c>
      <c r="G632" s="4" t="s">
        <v>89</v>
      </c>
      <c r="H632" s="4" t="s">
        <v>90</v>
      </c>
      <c r="I632" s="4"/>
      <c r="J632" s="4"/>
      <c r="K632" s="4">
        <v>209</v>
      </c>
      <c r="L632" s="4">
        <v>23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06" x14ac:dyDescent="0.2">
      <c r="A633" s="4">
        <v>50</v>
      </c>
      <c r="B633" s="4">
        <v>0</v>
      </c>
      <c r="C633" s="4">
        <v>0</v>
      </c>
      <c r="D633" s="4">
        <v>1</v>
      </c>
      <c r="E633" s="4">
        <v>233</v>
      </c>
      <c r="F633" s="4">
        <f>ROUND(Source!BD608,O633)</f>
        <v>0</v>
      </c>
      <c r="G633" s="4" t="s">
        <v>91</v>
      </c>
      <c r="H633" s="4" t="s">
        <v>92</v>
      </c>
      <c r="I633" s="4"/>
      <c r="J633" s="4"/>
      <c r="K633" s="4">
        <v>233</v>
      </c>
      <c r="L633" s="4">
        <v>24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06" x14ac:dyDescent="0.2">
      <c r="A634" s="4">
        <v>50</v>
      </c>
      <c r="B634" s="4">
        <v>0</v>
      </c>
      <c r="C634" s="4">
        <v>0</v>
      </c>
      <c r="D634" s="4">
        <v>1</v>
      </c>
      <c r="E634" s="4">
        <v>210</v>
      </c>
      <c r="F634" s="4">
        <f>ROUND(Source!X608,O634)</f>
        <v>10745.54</v>
      </c>
      <c r="G634" s="4" t="s">
        <v>93</v>
      </c>
      <c r="H634" s="4" t="s">
        <v>94</v>
      </c>
      <c r="I634" s="4"/>
      <c r="J634" s="4"/>
      <c r="K634" s="4">
        <v>210</v>
      </c>
      <c r="L634" s="4">
        <v>25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10745.54</v>
      </c>
      <c r="X634" s="4">
        <v>1</v>
      </c>
      <c r="Y634" s="4">
        <v>10745.54</v>
      </c>
      <c r="Z634" s="4"/>
      <c r="AA634" s="4"/>
      <c r="AB634" s="4"/>
    </row>
    <row r="635" spans="1:206" x14ac:dyDescent="0.2">
      <c r="A635" s="4">
        <v>50</v>
      </c>
      <c r="B635" s="4">
        <v>0</v>
      </c>
      <c r="C635" s="4">
        <v>0</v>
      </c>
      <c r="D635" s="4">
        <v>1</v>
      </c>
      <c r="E635" s="4">
        <v>211</v>
      </c>
      <c r="F635" s="4">
        <f>ROUND(Source!Y608,O635)</f>
        <v>1535.07</v>
      </c>
      <c r="G635" s="4" t="s">
        <v>95</v>
      </c>
      <c r="H635" s="4" t="s">
        <v>96</v>
      </c>
      <c r="I635" s="4"/>
      <c r="J635" s="4"/>
      <c r="K635" s="4">
        <v>211</v>
      </c>
      <c r="L635" s="4">
        <v>26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1535.07</v>
      </c>
      <c r="X635" s="4">
        <v>1</v>
      </c>
      <c r="Y635" s="4">
        <v>1535.07</v>
      </c>
      <c r="Z635" s="4"/>
      <c r="AA635" s="4"/>
      <c r="AB635" s="4"/>
    </row>
    <row r="636" spans="1:206" x14ac:dyDescent="0.2">
      <c r="A636" s="4">
        <v>50</v>
      </c>
      <c r="B636" s="4">
        <v>0</v>
      </c>
      <c r="C636" s="4">
        <v>0</v>
      </c>
      <c r="D636" s="4">
        <v>1</v>
      </c>
      <c r="E636" s="4">
        <v>224</v>
      </c>
      <c r="F636" s="4">
        <f>ROUND(Source!AR608,O636)</f>
        <v>27661.19</v>
      </c>
      <c r="G636" s="4" t="s">
        <v>97</v>
      </c>
      <c r="H636" s="4" t="s">
        <v>98</v>
      </c>
      <c r="I636" s="4"/>
      <c r="J636" s="4"/>
      <c r="K636" s="4">
        <v>224</v>
      </c>
      <c r="L636" s="4">
        <v>27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27661.19</v>
      </c>
      <c r="X636" s="4">
        <v>1</v>
      </c>
      <c r="Y636" s="4">
        <v>27661.19</v>
      </c>
      <c r="Z636" s="4"/>
      <c r="AA636" s="4"/>
      <c r="AB636" s="4"/>
    </row>
    <row r="638" spans="1:206" x14ac:dyDescent="0.2">
      <c r="A638" s="1">
        <v>5</v>
      </c>
      <c r="B638" s="1">
        <v>1</v>
      </c>
      <c r="C638" s="1"/>
      <c r="D638" s="1">
        <f>ROW(A656)</f>
        <v>656</v>
      </c>
      <c r="E638" s="1"/>
      <c r="F638" s="1" t="s">
        <v>100</v>
      </c>
      <c r="G638" s="1" t="s">
        <v>518</v>
      </c>
      <c r="H638" s="1" t="s">
        <v>3</v>
      </c>
      <c r="I638" s="1">
        <v>0</v>
      </c>
      <c r="J638" s="1"/>
      <c r="K638" s="1">
        <v>-1</v>
      </c>
      <c r="L638" s="1"/>
      <c r="M638" s="1" t="s">
        <v>3</v>
      </c>
      <c r="N638" s="1"/>
      <c r="O638" s="1"/>
      <c r="P638" s="1"/>
      <c r="Q638" s="1"/>
      <c r="R638" s="1"/>
      <c r="S638" s="1">
        <v>0</v>
      </c>
      <c r="T638" s="1"/>
      <c r="U638" s="1" t="s">
        <v>3</v>
      </c>
      <c r="V638" s="1">
        <v>0</v>
      </c>
      <c r="W638" s="1"/>
      <c r="X638" s="1"/>
      <c r="Y638" s="1"/>
      <c r="Z638" s="1"/>
      <c r="AA638" s="1"/>
      <c r="AB638" s="1" t="s">
        <v>3</v>
      </c>
      <c r="AC638" s="1" t="s">
        <v>3</v>
      </c>
      <c r="AD638" s="1" t="s">
        <v>3</v>
      </c>
      <c r="AE638" s="1" t="s">
        <v>3</v>
      </c>
      <c r="AF638" s="1" t="s">
        <v>3</v>
      </c>
      <c r="AG638" s="1" t="s">
        <v>3</v>
      </c>
      <c r="AH638" s="1"/>
      <c r="AI638" s="1"/>
      <c r="AJ638" s="1"/>
      <c r="AK638" s="1"/>
      <c r="AL638" s="1"/>
      <c r="AM638" s="1"/>
      <c r="AN638" s="1"/>
      <c r="AO638" s="1"/>
      <c r="AP638" s="1" t="s">
        <v>3</v>
      </c>
      <c r="AQ638" s="1" t="s">
        <v>3</v>
      </c>
      <c r="AR638" s="1" t="s">
        <v>3</v>
      </c>
      <c r="AS638" s="1"/>
      <c r="AT638" s="1"/>
      <c r="AU638" s="1"/>
      <c r="AV638" s="1"/>
      <c r="AW638" s="1"/>
      <c r="AX638" s="1"/>
      <c r="AY638" s="1"/>
      <c r="AZ638" s="1" t="s">
        <v>3</v>
      </c>
      <c r="BA638" s="1"/>
      <c r="BB638" s="1" t="s">
        <v>3</v>
      </c>
      <c r="BC638" s="1" t="s">
        <v>3</v>
      </c>
      <c r="BD638" s="1" t="s">
        <v>3</v>
      </c>
      <c r="BE638" s="1" t="s">
        <v>3</v>
      </c>
      <c r="BF638" s="1" t="s">
        <v>3</v>
      </c>
      <c r="BG638" s="1" t="s">
        <v>3</v>
      </c>
      <c r="BH638" s="1" t="s">
        <v>3</v>
      </c>
      <c r="BI638" s="1" t="s">
        <v>3</v>
      </c>
      <c r="BJ638" s="1" t="s">
        <v>3</v>
      </c>
      <c r="BK638" s="1" t="s">
        <v>3</v>
      </c>
      <c r="BL638" s="1" t="s">
        <v>3</v>
      </c>
      <c r="BM638" s="1" t="s">
        <v>3</v>
      </c>
      <c r="BN638" s="1" t="s">
        <v>3</v>
      </c>
      <c r="BO638" s="1" t="s">
        <v>3</v>
      </c>
      <c r="BP638" s="1" t="s">
        <v>3</v>
      </c>
      <c r="BQ638" s="1"/>
      <c r="BR638" s="1"/>
      <c r="BS638" s="1"/>
      <c r="BT638" s="1"/>
      <c r="BU638" s="1"/>
      <c r="BV638" s="1"/>
      <c r="BW638" s="1"/>
      <c r="BX638" s="1">
        <v>0</v>
      </c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>
        <v>0</v>
      </c>
    </row>
    <row r="640" spans="1:206" x14ac:dyDescent="0.2">
      <c r="A640" s="2">
        <v>52</v>
      </c>
      <c r="B640" s="2">
        <f t="shared" ref="B640:G640" si="529">B656</f>
        <v>1</v>
      </c>
      <c r="C640" s="2">
        <f t="shared" si="529"/>
        <v>5</v>
      </c>
      <c r="D640" s="2">
        <f t="shared" si="529"/>
        <v>638</v>
      </c>
      <c r="E640" s="2">
        <f t="shared" si="529"/>
        <v>0</v>
      </c>
      <c r="F640" s="2" t="str">
        <f t="shared" si="529"/>
        <v>Новый подраздел</v>
      </c>
      <c r="G640" s="2" t="str">
        <f t="shared" si="529"/>
        <v>5.2  Приборы и средства автоматизации</v>
      </c>
      <c r="H640" s="2"/>
      <c r="I640" s="2"/>
      <c r="J640" s="2"/>
      <c r="K640" s="2"/>
      <c r="L640" s="2"/>
      <c r="M640" s="2"/>
      <c r="N640" s="2"/>
      <c r="O640" s="2">
        <f t="shared" ref="O640:AT640" si="530">O656</f>
        <v>63718.84</v>
      </c>
      <c r="P640" s="2">
        <f t="shared" si="530"/>
        <v>367.19</v>
      </c>
      <c r="Q640" s="2">
        <f t="shared" si="530"/>
        <v>273.63</v>
      </c>
      <c r="R640" s="2">
        <f t="shared" si="530"/>
        <v>173.5</v>
      </c>
      <c r="S640" s="2">
        <f t="shared" si="530"/>
        <v>63078.02</v>
      </c>
      <c r="T640" s="2">
        <f t="shared" si="530"/>
        <v>0</v>
      </c>
      <c r="U640" s="2">
        <f t="shared" si="530"/>
        <v>90.271000000000001</v>
      </c>
      <c r="V640" s="2">
        <f t="shared" si="530"/>
        <v>0</v>
      </c>
      <c r="W640" s="2">
        <f t="shared" si="530"/>
        <v>0</v>
      </c>
      <c r="X640" s="2">
        <f t="shared" si="530"/>
        <v>44154.62</v>
      </c>
      <c r="Y640" s="2">
        <f t="shared" si="530"/>
        <v>6307.81</v>
      </c>
      <c r="Z640" s="2">
        <f t="shared" si="530"/>
        <v>0</v>
      </c>
      <c r="AA640" s="2">
        <f t="shared" si="530"/>
        <v>0</v>
      </c>
      <c r="AB640" s="2">
        <f t="shared" si="530"/>
        <v>63718.84</v>
      </c>
      <c r="AC640" s="2">
        <f t="shared" si="530"/>
        <v>367.19</v>
      </c>
      <c r="AD640" s="2">
        <f t="shared" si="530"/>
        <v>273.63</v>
      </c>
      <c r="AE640" s="2">
        <f t="shared" si="530"/>
        <v>173.5</v>
      </c>
      <c r="AF640" s="2">
        <f t="shared" si="530"/>
        <v>63078.02</v>
      </c>
      <c r="AG640" s="2">
        <f t="shared" si="530"/>
        <v>0</v>
      </c>
      <c r="AH640" s="2">
        <f t="shared" si="530"/>
        <v>90.271000000000001</v>
      </c>
      <c r="AI640" s="2">
        <f t="shared" si="530"/>
        <v>0</v>
      </c>
      <c r="AJ640" s="2">
        <f t="shared" si="530"/>
        <v>0</v>
      </c>
      <c r="AK640" s="2">
        <f t="shared" si="530"/>
        <v>44154.62</v>
      </c>
      <c r="AL640" s="2">
        <f t="shared" si="530"/>
        <v>6307.81</v>
      </c>
      <c r="AM640" s="2">
        <f t="shared" si="530"/>
        <v>0</v>
      </c>
      <c r="AN640" s="2">
        <f t="shared" si="530"/>
        <v>0</v>
      </c>
      <c r="AO640" s="2">
        <f t="shared" si="530"/>
        <v>0</v>
      </c>
      <c r="AP640" s="2">
        <f t="shared" si="530"/>
        <v>0</v>
      </c>
      <c r="AQ640" s="2">
        <f t="shared" si="530"/>
        <v>0</v>
      </c>
      <c r="AR640" s="2">
        <f t="shared" si="530"/>
        <v>114368.65</v>
      </c>
      <c r="AS640" s="2">
        <f t="shared" si="530"/>
        <v>0</v>
      </c>
      <c r="AT640" s="2">
        <f t="shared" si="530"/>
        <v>0</v>
      </c>
      <c r="AU640" s="2">
        <f t="shared" ref="AU640:BZ640" si="531">AU656</f>
        <v>114368.65</v>
      </c>
      <c r="AV640" s="2">
        <f t="shared" si="531"/>
        <v>367.19</v>
      </c>
      <c r="AW640" s="2">
        <f t="shared" si="531"/>
        <v>367.19</v>
      </c>
      <c r="AX640" s="2">
        <f t="shared" si="531"/>
        <v>0</v>
      </c>
      <c r="AY640" s="2">
        <f t="shared" si="531"/>
        <v>367.19</v>
      </c>
      <c r="AZ640" s="2">
        <f t="shared" si="531"/>
        <v>0</v>
      </c>
      <c r="BA640" s="2">
        <f t="shared" si="531"/>
        <v>0</v>
      </c>
      <c r="BB640" s="2">
        <f t="shared" si="531"/>
        <v>0</v>
      </c>
      <c r="BC640" s="2">
        <f t="shared" si="531"/>
        <v>0</v>
      </c>
      <c r="BD640" s="2">
        <f t="shared" si="531"/>
        <v>0</v>
      </c>
      <c r="BE640" s="2">
        <f t="shared" si="531"/>
        <v>0</v>
      </c>
      <c r="BF640" s="2">
        <f t="shared" si="531"/>
        <v>0</v>
      </c>
      <c r="BG640" s="2">
        <f t="shared" si="531"/>
        <v>0</v>
      </c>
      <c r="BH640" s="2">
        <f t="shared" si="531"/>
        <v>0</v>
      </c>
      <c r="BI640" s="2">
        <f t="shared" si="531"/>
        <v>0</v>
      </c>
      <c r="BJ640" s="2">
        <f t="shared" si="531"/>
        <v>0</v>
      </c>
      <c r="BK640" s="2">
        <f t="shared" si="531"/>
        <v>0</v>
      </c>
      <c r="BL640" s="2">
        <f t="shared" si="531"/>
        <v>0</v>
      </c>
      <c r="BM640" s="2">
        <f t="shared" si="531"/>
        <v>0</v>
      </c>
      <c r="BN640" s="2">
        <f t="shared" si="531"/>
        <v>0</v>
      </c>
      <c r="BO640" s="2">
        <f t="shared" si="531"/>
        <v>0</v>
      </c>
      <c r="BP640" s="2">
        <f t="shared" si="531"/>
        <v>0</v>
      </c>
      <c r="BQ640" s="2">
        <f t="shared" si="531"/>
        <v>0</v>
      </c>
      <c r="BR640" s="2">
        <f t="shared" si="531"/>
        <v>0</v>
      </c>
      <c r="BS640" s="2">
        <f t="shared" si="531"/>
        <v>0</v>
      </c>
      <c r="BT640" s="2">
        <f t="shared" si="531"/>
        <v>0</v>
      </c>
      <c r="BU640" s="2">
        <f t="shared" si="531"/>
        <v>0</v>
      </c>
      <c r="BV640" s="2">
        <f t="shared" si="531"/>
        <v>0</v>
      </c>
      <c r="BW640" s="2">
        <f t="shared" si="531"/>
        <v>0</v>
      </c>
      <c r="BX640" s="2">
        <f t="shared" si="531"/>
        <v>0</v>
      </c>
      <c r="BY640" s="2">
        <f t="shared" si="531"/>
        <v>0</v>
      </c>
      <c r="BZ640" s="2">
        <f t="shared" si="531"/>
        <v>0</v>
      </c>
      <c r="CA640" s="2">
        <f t="shared" ref="CA640:DF640" si="532">CA656</f>
        <v>114368.65</v>
      </c>
      <c r="CB640" s="2">
        <f t="shared" si="532"/>
        <v>0</v>
      </c>
      <c r="CC640" s="2">
        <f t="shared" si="532"/>
        <v>0</v>
      </c>
      <c r="CD640" s="2">
        <f t="shared" si="532"/>
        <v>114368.65</v>
      </c>
      <c r="CE640" s="2">
        <f t="shared" si="532"/>
        <v>367.19</v>
      </c>
      <c r="CF640" s="2">
        <f t="shared" si="532"/>
        <v>367.19</v>
      </c>
      <c r="CG640" s="2">
        <f t="shared" si="532"/>
        <v>0</v>
      </c>
      <c r="CH640" s="2">
        <f t="shared" si="532"/>
        <v>367.19</v>
      </c>
      <c r="CI640" s="2">
        <f t="shared" si="532"/>
        <v>0</v>
      </c>
      <c r="CJ640" s="2">
        <f t="shared" si="532"/>
        <v>0</v>
      </c>
      <c r="CK640" s="2">
        <f t="shared" si="532"/>
        <v>0</v>
      </c>
      <c r="CL640" s="2">
        <f t="shared" si="532"/>
        <v>0</v>
      </c>
      <c r="CM640" s="2">
        <f t="shared" si="532"/>
        <v>0</v>
      </c>
      <c r="CN640" s="2">
        <f t="shared" si="532"/>
        <v>0</v>
      </c>
      <c r="CO640" s="2">
        <f t="shared" si="532"/>
        <v>0</v>
      </c>
      <c r="CP640" s="2">
        <f t="shared" si="532"/>
        <v>0</v>
      </c>
      <c r="CQ640" s="2">
        <f t="shared" si="532"/>
        <v>0</v>
      </c>
      <c r="CR640" s="2">
        <f t="shared" si="532"/>
        <v>0</v>
      </c>
      <c r="CS640" s="2">
        <f t="shared" si="532"/>
        <v>0</v>
      </c>
      <c r="CT640" s="2">
        <f t="shared" si="532"/>
        <v>0</v>
      </c>
      <c r="CU640" s="2">
        <f t="shared" si="532"/>
        <v>0</v>
      </c>
      <c r="CV640" s="2">
        <f t="shared" si="532"/>
        <v>0</v>
      </c>
      <c r="CW640" s="2">
        <f t="shared" si="532"/>
        <v>0</v>
      </c>
      <c r="CX640" s="2">
        <f t="shared" si="532"/>
        <v>0</v>
      </c>
      <c r="CY640" s="2">
        <f t="shared" si="532"/>
        <v>0</v>
      </c>
      <c r="CZ640" s="2">
        <f t="shared" si="532"/>
        <v>0</v>
      </c>
      <c r="DA640" s="2">
        <f t="shared" si="532"/>
        <v>0</v>
      </c>
      <c r="DB640" s="2">
        <f t="shared" si="532"/>
        <v>0</v>
      </c>
      <c r="DC640" s="2">
        <f t="shared" si="532"/>
        <v>0</v>
      </c>
      <c r="DD640" s="2">
        <f t="shared" si="532"/>
        <v>0</v>
      </c>
      <c r="DE640" s="2">
        <f t="shared" si="532"/>
        <v>0</v>
      </c>
      <c r="DF640" s="2">
        <f t="shared" si="532"/>
        <v>0</v>
      </c>
      <c r="DG640" s="3">
        <f t="shared" ref="DG640:EL640" si="533">DG656</f>
        <v>0</v>
      </c>
      <c r="DH640" s="3">
        <f t="shared" si="533"/>
        <v>0</v>
      </c>
      <c r="DI640" s="3">
        <f t="shared" si="533"/>
        <v>0</v>
      </c>
      <c r="DJ640" s="3">
        <f t="shared" si="533"/>
        <v>0</v>
      </c>
      <c r="DK640" s="3">
        <f t="shared" si="533"/>
        <v>0</v>
      </c>
      <c r="DL640" s="3">
        <f t="shared" si="533"/>
        <v>0</v>
      </c>
      <c r="DM640" s="3">
        <f t="shared" si="533"/>
        <v>0</v>
      </c>
      <c r="DN640" s="3">
        <f t="shared" si="533"/>
        <v>0</v>
      </c>
      <c r="DO640" s="3">
        <f t="shared" si="533"/>
        <v>0</v>
      </c>
      <c r="DP640" s="3">
        <f t="shared" si="533"/>
        <v>0</v>
      </c>
      <c r="DQ640" s="3">
        <f t="shared" si="533"/>
        <v>0</v>
      </c>
      <c r="DR640" s="3">
        <f t="shared" si="533"/>
        <v>0</v>
      </c>
      <c r="DS640" s="3">
        <f t="shared" si="533"/>
        <v>0</v>
      </c>
      <c r="DT640" s="3">
        <f t="shared" si="533"/>
        <v>0</v>
      </c>
      <c r="DU640" s="3">
        <f t="shared" si="533"/>
        <v>0</v>
      </c>
      <c r="DV640" s="3">
        <f t="shared" si="533"/>
        <v>0</v>
      </c>
      <c r="DW640" s="3">
        <f t="shared" si="533"/>
        <v>0</v>
      </c>
      <c r="DX640" s="3">
        <f t="shared" si="533"/>
        <v>0</v>
      </c>
      <c r="DY640" s="3">
        <f t="shared" si="533"/>
        <v>0</v>
      </c>
      <c r="DZ640" s="3">
        <f t="shared" si="533"/>
        <v>0</v>
      </c>
      <c r="EA640" s="3">
        <f t="shared" si="533"/>
        <v>0</v>
      </c>
      <c r="EB640" s="3">
        <f t="shared" si="533"/>
        <v>0</v>
      </c>
      <c r="EC640" s="3">
        <f t="shared" si="533"/>
        <v>0</v>
      </c>
      <c r="ED640" s="3">
        <f t="shared" si="533"/>
        <v>0</v>
      </c>
      <c r="EE640" s="3">
        <f t="shared" si="533"/>
        <v>0</v>
      </c>
      <c r="EF640" s="3">
        <f t="shared" si="533"/>
        <v>0</v>
      </c>
      <c r="EG640" s="3">
        <f t="shared" si="533"/>
        <v>0</v>
      </c>
      <c r="EH640" s="3">
        <f t="shared" si="533"/>
        <v>0</v>
      </c>
      <c r="EI640" s="3">
        <f t="shared" si="533"/>
        <v>0</v>
      </c>
      <c r="EJ640" s="3">
        <f t="shared" si="533"/>
        <v>0</v>
      </c>
      <c r="EK640" s="3">
        <f t="shared" si="533"/>
        <v>0</v>
      </c>
      <c r="EL640" s="3">
        <f t="shared" si="533"/>
        <v>0</v>
      </c>
      <c r="EM640" s="3">
        <f t="shared" ref="EM640:FR640" si="534">EM656</f>
        <v>0</v>
      </c>
      <c r="EN640" s="3">
        <f t="shared" si="534"/>
        <v>0</v>
      </c>
      <c r="EO640" s="3">
        <f t="shared" si="534"/>
        <v>0</v>
      </c>
      <c r="EP640" s="3">
        <f t="shared" si="534"/>
        <v>0</v>
      </c>
      <c r="EQ640" s="3">
        <f t="shared" si="534"/>
        <v>0</v>
      </c>
      <c r="ER640" s="3">
        <f t="shared" si="534"/>
        <v>0</v>
      </c>
      <c r="ES640" s="3">
        <f t="shared" si="534"/>
        <v>0</v>
      </c>
      <c r="ET640" s="3">
        <f t="shared" si="534"/>
        <v>0</v>
      </c>
      <c r="EU640" s="3">
        <f t="shared" si="534"/>
        <v>0</v>
      </c>
      <c r="EV640" s="3">
        <f t="shared" si="534"/>
        <v>0</v>
      </c>
      <c r="EW640" s="3">
        <f t="shared" si="534"/>
        <v>0</v>
      </c>
      <c r="EX640" s="3">
        <f t="shared" si="534"/>
        <v>0</v>
      </c>
      <c r="EY640" s="3">
        <f t="shared" si="534"/>
        <v>0</v>
      </c>
      <c r="EZ640" s="3">
        <f t="shared" si="534"/>
        <v>0</v>
      </c>
      <c r="FA640" s="3">
        <f t="shared" si="534"/>
        <v>0</v>
      </c>
      <c r="FB640" s="3">
        <f t="shared" si="534"/>
        <v>0</v>
      </c>
      <c r="FC640" s="3">
        <f t="shared" si="534"/>
        <v>0</v>
      </c>
      <c r="FD640" s="3">
        <f t="shared" si="534"/>
        <v>0</v>
      </c>
      <c r="FE640" s="3">
        <f t="shared" si="534"/>
        <v>0</v>
      </c>
      <c r="FF640" s="3">
        <f t="shared" si="534"/>
        <v>0</v>
      </c>
      <c r="FG640" s="3">
        <f t="shared" si="534"/>
        <v>0</v>
      </c>
      <c r="FH640" s="3">
        <f t="shared" si="534"/>
        <v>0</v>
      </c>
      <c r="FI640" s="3">
        <f t="shared" si="534"/>
        <v>0</v>
      </c>
      <c r="FJ640" s="3">
        <f t="shared" si="534"/>
        <v>0</v>
      </c>
      <c r="FK640" s="3">
        <f t="shared" si="534"/>
        <v>0</v>
      </c>
      <c r="FL640" s="3">
        <f t="shared" si="534"/>
        <v>0</v>
      </c>
      <c r="FM640" s="3">
        <f t="shared" si="534"/>
        <v>0</v>
      </c>
      <c r="FN640" s="3">
        <f t="shared" si="534"/>
        <v>0</v>
      </c>
      <c r="FO640" s="3">
        <f t="shared" si="534"/>
        <v>0</v>
      </c>
      <c r="FP640" s="3">
        <f t="shared" si="534"/>
        <v>0</v>
      </c>
      <c r="FQ640" s="3">
        <f t="shared" si="534"/>
        <v>0</v>
      </c>
      <c r="FR640" s="3">
        <f t="shared" si="534"/>
        <v>0</v>
      </c>
      <c r="FS640" s="3">
        <f t="shared" ref="FS640:GX640" si="535">FS656</f>
        <v>0</v>
      </c>
      <c r="FT640" s="3">
        <f t="shared" si="535"/>
        <v>0</v>
      </c>
      <c r="FU640" s="3">
        <f t="shared" si="535"/>
        <v>0</v>
      </c>
      <c r="FV640" s="3">
        <f t="shared" si="535"/>
        <v>0</v>
      </c>
      <c r="FW640" s="3">
        <f t="shared" si="535"/>
        <v>0</v>
      </c>
      <c r="FX640" s="3">
        <f t="shared" si="535"/>
        <v>0</v>
      </c>
      <c r="FY640" s="3">
        <f t="shared" si="535"/>
        <v>0</v>
      </c>
      <c r="FZ640" s="3">
        <f t="shared" si="535"/>
        <v>0</v>
      </c>
      <c r="GA640" s="3">
        <f t="shared" si="535"/>
        <v>0</v>
      </c>
      <c r="GB640" s="3">
        <f t="shared" si="535"/>
        <v>0</v>
      </c>
      <c r="GC640" s="3">
        <f t="shared" si="535"/>
        <v>0</v>
      </c>
      <c r="GD640" s="3">
        <f t="shared" si="535"/>
        <v>0</v>
      </c>
      <c r="GE640" s="3">
        <f t="shared" si="535"/>
        <v>0</v>
      </c>
      <c r="GF640" s="3">
        <f t="shared" si="535"/>
        <v>0</v>
      </c>
      <c r="GG640" s="3">
        <f t="shared" si="535"/>
        <v>0</v>
      </c>
      <c r="GH640" s="3">
        <f t="shared" si="535"/>
        <v>0</v>
      </c>
      <c r="GI640" s="3">
        <f t="shared" si="535"/>
        <v>0</v>
      </c>
      <c r="GJ640" s="3">
        <f t="shared" si="535"/>
        <v>0</v>
      </c>
      <c r="GK640" s="3">
        <f t="shared" si="535"/>
        <v>0</v>
      </c>
      <c r="GL640" s="3">
        <f t="shared" si="535"/>
        <v>0</v>
      </c>
      <c r="GM640" s="3">
        <f t="shared" si="535"/>
        <v>0</v>
      </c>
      <c r="GN640" s="3">
        <f t="shared" si="535"/>
        <v>0</v>
      </c>
      <c r="GO640" s="3">
        <f t="shared" si="535"/>
        <v>0</v>
      </c>
      <c r="GP640" s="3">
        <f t="shared" si="535"/>
        <v>0</v>
      </c>
      <c r="GQ640" s="3">
        <f t="shared" si="535"/>
        <v>0</v>
      </c>
      <c r="GR640" s="3">
        <f t="shared" si="535"/>
        <v>0</v>
      </c>
      <c r="GS640" s="3">
        <f t="shared" si="535"/>
        <v>0</v>
      </c>
      <c r="GT640" s="3">
        <f t="shared" si="535"/>
        <v>0</v>
      </c>
      <c r="GU640" s="3">
        <f t="shared" si="535"/>
        <v>0</v>
      </c>
      <c r="GV640" s="3">
        <f t="shared" si="535"/>
        <v>0</v>
      </c>
      <c r="GW640" s="3">
        <f t="shared" si="535"/>
        <v>0</v>
      </c>
      <c r="GX640" s="3">
        <f t="shared" si="535"/>
        <v>0</v>
      </c>
    </row>
    <row r="642" spans="1:245" x14ac:dyDescent="0.2">
      <c r="A642">
        <v>17</v>
      </c>
      <c r="B642">
        <v>1</v>
      </c>
      <c r="D642">
        <f>ROW(EtalonRes!A391)</f>
        <v>391</v>
      </c>
      <c r="E642" t="s">
        <v>519</v>
      </c>
      <c r="F642" t="s">
        <v>114</v>
      </c>
      <c r="G642" t="s">
        <v>520</v>
      </c>
      <c r="H642" t="s">
        <v>31</v>
      </c>
      <c r="I642">
        <v>1</v>
      </c>
      <c r="J642">
        <v>0</v>
      </c>
      <c r="K642">
        <v>1</v>
      </c>
      <c r="O642">
        <f t="shared" ref="O642:O654" si="536">ROUND(CP642,2)</f>
        <v>1631.48</v>
      </c>
      <c r="P642">
        <f t="shared" ref="P642:P654" si="537">ROUND(CQ642*I642,2)</f>
        <v>0</v>
      </c>
      <c r="Q642">
        <f t="shared" ref="Q642:Q654" si="538">ROUND(CR642*I642,2)</f>
        <v>0</v>
      </c>
      <c r="R642">
        <f t="shared" ref="R642:R654" si="539">ROUND(CS642*I642,2)</f>
        <v>0</v>
      </c>
      <c r="S642">
        <f t="shared" ref="S642:S654" si="540">ROUND(CT642*I642,2)</f>
        <v>1631.48</v>
      </c>
      <c r="T642">
        <f t="shared" ref="T642:T654" si="541">ROUND(CU642*I642,2)</f>
        <v>0</v>
      </c>
      <c r="U642">
        <f t="shared" ref="U642:U654" si="542">CV642*I642</f>
        <v>2.12</v>
      </c>
      <c r="V642">
        <f t="shared" ref="V642:V654" si="543">CW642*I642</f>
        <v>0</v>
      </c>
      <c r="W642">
        <f t="shared" ref="W642:W654" si="544">ROUND(CX642*I642,2)</f>
        <v>0</v>
      </c>
      <c r="X642">
        <f t="shared" ref="X642:X654" si="545">ROUND(CY642,2)</f>
        <v>1142.04</v>
      </c>
      <c r="Y642">
        <f t="shared" ref="Y642:Y654" si="546">ROUND(CZ642,2)</f>
        <v>163.15</v>
      </c>
      <c r="AA642">
        <v>1471988752</v>
      </c>
      <c r="AB642">
        <f t="shared" ref="AB642:AB654" si="547">ROUND((AC642+AD642+AF642),6)</f>
        <v>1631.48</v>
      </c>
      <c r="AC642">
        <f>ROUND(((ES642*2)),6)</f>
        <v>0</v>
      </c>
      <c r="AD642">
        <f>ROUND(((((ET642*2))-((EU642*2)))+AE642),6)</f>
        <v>0</v>
      </c>
      <c r="AE642">
        <f>ROUND(((EU642*2)),6)</f>
        <v>0</v>
      </c>
      <c r="AF642">
        <f>ROUND(((EV642*2)),6)</f>
        <v>1631.48</v>
      </c>
      <c r="AG642">
        <f t="shared" ref="AG642:AG654" si="548">ROUND((AP642),6)</f>
        <v>0</v>
      </c>
      <c r="AH642">
        <f>((EW642*2))</f>
        <v>2.12</v>
      </c>
      <c r="AI642">
        <f>((EX642*2))</f>
        <v>0</v>
      </c>
      <c r="AJ642">
        <f t="shared" ref="AJ642:AJ654" si="549">(AS642)</f>
        <v>0</v>
      </c>
      <c r="AK642">
        <v>815.74</v>
      </c>
      <c r="AL642">
        <v>0</v>
      </c>
      <c r="AM642">
        <v>0</v>
      </c>
      <c r="AN642">
        <v>0</v>
      </c>
      <c r="AO642">
        <v>815.74</v>
      </c>
      <c r="AP642">
        <v>0</v>
      </c>
      <c r="AQ642">
        <v>1.06</v>
      </c>
      <c r="AR642">
        <v>0</v>
      </c>
      <c r="AS642">
        <v>0</v>
      </c>
      <c r="AT642">
        <v>70</v>
      </c>
      <c r="AU642">
        <v>10</v>
      </c>
      <c r="AV642">
        <v>1</v>
      </c>
      <c r="AW642">
        <v>1</v>
      </c>
      <c r="AZ642">
        <v>1</v>
      </c>
      <c r="BA642">
        <v>1</v>
      </c>
      <c r="BB642">
        <v>1</v>
      </c>
      <c r="BC642">
        <v>1</v>
      </c>
      <c r="BD642" t="s">
        <v>3</v>
      </c>
      <c r="BE642" t="s">
        <v>3</v>
      </c>
      <c r="BF642" t="s">
        <v>3</v>
      </c>
      <c r="BG642" t="s">
        <v>3</v>
      </c>
      <c r="BH642">
        <v>0</v>
      </c>
      <c r="BI642">
        <v>4</v>
      </c>
      <c r="BJ642" t="s">
        <v>116</v>
      </c>
      <c r="BM642">
        <v>0</v>
      </c>
      <c r="BN642">
        <v>0</v>
      </c>
      <c r="BO642" t="s">
        <v>3</v>
      </c>
      <c r="BP642">
        <v>0</v>
      </c>
      <c r="BQ642">
        <v>1</v>
      </c>
      <c r="BR642">
        <v>0</v>
      </c>
      <c r="BS642">
        <v>1</v>
      </c>
      <c r="BT642">
        <v>1</v>
      </c>
      <c r="BU642">
        <v>1</v>
      </c>
      <c r="BV642">
        <v>1</v>
      </c>
      <c r="BW642">
        <v>1</v>
      </c>
      <c r="BX642">
        <v>1</v>
      </c>
      <c r="BY642" t="s">
        <v>3</v>
      </c>
      <c r="BZ642">
        <v>70</v>
      </c>
      <c r="CA642">
        <v>10</v>
      </c>
      <c r="CB642" t="s">
        <v>3</v>
      </c>
      <c r="CE642">
        <v>0</v>
      </c>
      <c r="CF642">
        <v>0</v>
      </c>
      <c r="CG642">
        <v>0</v>
      </c>
      <c r="CM642">
        <v>0</v>
      </c>
      <c r="CN642" t="s">
        <v>3</v>
      </c>
      <c r="CO642">
        <v>0</v>
      </c>
      <c r="CP642">
        <f t="shared" ref="CP642:CP654" si="550">(P642+Q642+S642)</f>
        <v>1631.48</v>
      </c>
      <c r="CQ642">
        <f t="shared" ref="CQ642:CQ654" si="551">(AC642*BC642*AW642)</f>
        <v>0</v>
      </c>
      <c r="CR642">
        <f>(((((ET642*2))*BB642-((EU642*2))*BS642)+AE642*BS642)*AV642)</f>
        <v>0</v>
      </c>
      <c r="CS642">
        <f t="shared" ref="CS642:CS654" si="552">(AE642*BS642*AV642)</f>
        <v>0</v>
      </c>
      <c r="CT642">
        <f t="shared" ref="CT642:CT654" si="553">(AF642*BA642*AV642)</f>
        <v>1631.48</v>
      </c>
      <c r="CU642">
        <f t="shared" ref="CU642:CU654" si="554">AG642</f>
        <v>0</v>
      </c>
      <c r="CV642">
        <f t="shared" ref="CV642:CV654" si="555">(AH642*AV642)</f>
        <v>2.12</v>
      </c>
      <c r="CW642">
        <f t="shared" ref="CW642:CW654" si="556">AI642</f>
        <v>0</v>
      </c>
      <c r="CX642">
        <f t="shared" ref="CX642:CX654" si="557">AJ642</f>
        <v>0</v>
      </c>
      <c r="CY642">
        <f t="shared" ref="CY642:CY654" si="558">((S642*BZ642)/100)</f>
        <v>1142.0360000000001</v>
      </c>
      <c r="CZ642">
        <f t="shared" ref="CZ642:CZ654" si="559">((S642*CA642)/100)</f>
        <v>163.148</v>
      </c>
      <c r="DC642" t="s">
        <v>3</v>
      </c>
      <c r="DD642" t="s">
        <v>117</v>
      </c>
      <c r="DE642" t="s">
        <v>117</v>
      </c>
      <c r="DF642" t="s">
        <v>117</v>
      </c>
      <c r="DG642" t="s">
        <v>117</v>
      </c>
      <c r="DH642" t="s">
        <v>3</v>
      </c>
      <c r="DI642" t="s">
        <v>117</v>
      </c>
      <c r="DJ642" t="s">
        <v>117</v>
      </c>
      <c r="DK642" t="s">
        <v>3</v>
      </c>
      <c r="DL642" t="s">
        <v>3</v>
      </c>
      <c r="DM642" t="s">
        <v>3</v>
      </c>
      <c r="DN642">
        <v>0</v>
      </c>
      <c r="DO642">
        <v>0</v>
      </c>
      <c r="DP642">
        <v>1</v>
      </c>
      <c r="DQ642">
        <v>1</v>
      </c>
      <c r="DU642">
        <v>16987630</v>
      </c>
      <c r="DV642" t="s">
        <v>31</v>
      </c>
      <c r="DW642" t="s">
        <v>31</v>
      </c>
      <c r="DX642">
        <v>1</v>
      </c>
      <c r="DZ642" t="s">
        <v>3</v>
      </c>
      <c r="EA642" t="s">
        <v>3</v>
      </c>
      <c r="EB642" t="s">
        <v>3</v>
      </c>
      <c r="EC642" t="s">
        <v>3</v>
      </c>
      <c r="EE642">
        <v>1441815344</v>
      </c>
      <c r="EF642">
        <v>1</v>
      </c>
      <c r="EG642" t="s">
        <v>19</v>
      </c>
      <c r="EH642">
        <v>0</v>
      </c>
      <c r="EI642" t="s">
        <v>3</v>
      </c>
      <c r="EJ642">
        <v>4</v>
      </c>
      <c r="EK642">
        <v>0</v>
      </c>
      <c r="EL642" t="s">
        <v>20</v>
      </c>
      <c r="EM642" t="s">
        <v>21</v>
      </c>
      <c r="EO642" t="s">
        <v>3</v>
      </c>
      <c r="EQ642">
        <v>0</v>
      </c>
      <c r="ER642">
        <v>815.74</v>
      </c>
      <c r="ES642">
        <v>0</v>
      </c>
      <c r="ET642">
        <v>0</v>
      </c>
      <c r="EU642">
        <v>0</v>
      </c>
      <c r="EV642">
        <v>815.74</v>
      </c>
      <c r="EW642">
        <v>1.06</v>
      </c>
      <c r="EX642">
        <v>0</v>
      </c>
      <c r="EY642">
        <v>0</v>
      </c>
      <c r="FQ642">
        <v>0</v>
      </c>
      <c r="FR642">
        <f t="shared" ref="FR642:FR654" si="560">ROUND(IF(BI642=3,GM642,0),2)</f>
        <v>0</v>
      </c>
      <c r="FS642">
        <v>0</v>
      </c>
      <c r="FX642">
        <v>70</v>
      </c>
      <c r="FY642">
        <v>10</v>
      </c>
      <c r="GA642" t="s">
        <v>3</v>
      </c>
      <c r="GD642">
        <v>0</v>
      </c>
      <c r="GF642">
        <v>-138133869</v>
      </c>
      <c r="GG642">
        <v>2</v>
      </c>
      <c r="GH642">
        <v>1</v>
      </c>
      <c r="GI642">
        <v>-2</v>
      </c>
      <c r="GJ642">
        <v>0</v>
      </c>
      <c r="GK642">
        <f>ROUND(R642*(R12)/100,2)</f>
        <v>0</v>
      </c>
      <c r="GL642">
        <f t="shared" ref="GL642:GL654" si="561">ROUND(IF(AND(BH642=3,BI642=3,FS642&lt;&gt;0),P642,0),2)</f>
        <v>0</v>
      </c>
      <c r="GM642">
        <f t="shared" ref="GM642:GM654" si="562">ROUND(O642+X642+Y642+GK642,2)+GX642</f>
        <v>2936.67</v>
      </c>
      <c r="GN642">
        <f t="shared" ref="GN642:GN654" si="563">IF(OR(BI642=0,BI642=1),GM642-GX642,0)</f>
        <v>0</v>
      </c>
      <c r="GO642">
        <f t="shared" ref="GO642:GO654" si="564">IF(BI642=2,GM642-GX642,0)</f>
        <v>0</v>
      </c>
      <c r="GP642">
        <f t="shared" ref="GP642:GP654" si="565">IF(BI642=4,GM642-GX642,0)</f>
        <v>2936.67</v>
      </c>
      <c r="GR642">
        <v>0</v>
      </c>
      <c r="GS642">
        <v>3</v>
      </c>
      <c r="GT642">
        <v>0</v>
      </c>
      <c r="GU642" t="s">
        <v>3</v>
      </c>
      <c r="GV642">
        <f t="shared" ref="GV642:GV654" si="566">ROUND((GT642),6)</f>
        <v>0</v>
      </c>
      <c r="GW642">
        <v>1</v>
      </c>
      <c r="GX642">
        <f t="shared" ref="GX642:GX654" si="567">ROUND(HC642*I642,2)</f>
        <v>0</v>
      </c>
      <c r="HA642">
        <v>0</v>
      </c>
      <c r="HB642">
        <v>0</v>
      </c>
      <c r="HC642">
        <f t="shared" ref="HC642:HC654" si="568">GV642*GW642</f>
        <v>0</v>
      </c>
      <c r="HE642" t="s">
        <v>3</v>
      </c>
      <c r="HF642" t="s">
        <v>3</v>
      </c>
      <c r="HM642" t="s">
        <v>3</v>
      </c>
      <c r="HN642" t="s">
        <v>3</v>
      </c>
      <c r="HO642" t="s">
        <v>3</v>
      </c>
      <c r="HP642" t="s">
        <v>3</v>
      </c>
      <c r="HQ642" t="s">
        <v>3</v>
      </c>
      <c r="IK642">
        <v>0</v>
      </c>
    </row>
    <row r="643" spans="1:245" x14ac:dyDescent="0.2">
      <c r="A643">
        <v>17</v>
      </c>
      <c r="B643">
        <v>1</v>
      </c>
      <c r="D643">
        <f>ROW(EtalonRes!A394)</f>
        <v>394</v>
      </c>
      <c r="E643" t="s">
        <v>521</v>
      </c>
      <c r="F643" t="s">
        <v>378</v>
      </c>
      <c r="G643" t="s">
        <v>379</v>
      </c>
      <c r="H643" t="s">
        <v>40</v>
      </c>
      <c r="I643">
        <f>ROUND(ROUND((1+1)/10,9),9)</f>
        <v>0.2</v>
      </c>
      <c r="J643">
        <v>0</v>
      </c>
      <c r="K643">
        <f>ROUND(ROUND((1+1)/10,9),9)</f>
        <v>0.2</v>
      </c>
      <c r="O643">
        <f t="shared" si="536"/>
        <v>356.77</v>
      </c>
      <c r="P643">
        <f t="shared" si="537"/>
        <v>16.13</v>
      </c>
      <c r="Q643">
        <f t="shared" si="538"/>
        <v>0</v>
      </c>
      <c r="R643">
        <f t="shared" si="539"/>
        <v>0</v>
      </c>
      <c r="S643">
        <f t="shared" si="540"/>
        <v>340.64</v>
      </c>
      <c r="T643">
        <f t="shared" si="541"/>
        <v>0</v>
      </c>
      <c r="U643">
        <f t="shared" si="542"/>
        <v>0.48</v>
      </c>
      <c r="V643">
        <f t="shared" si="543"/>
        <v>0</v>
      </c>
      <c r="W643">
        <f t="shared" si="544"/>
        <v>0</v>
      </c>
      <c r="X643">
        <f t="shared" si="545"/>
        <v>238.45</v>
      </c>
      <c r="Y643">
        <f t="shared" si="546"/>
        <v>34.06</v>
      </c>
      <c r="AA643">
        <v>1471988752</v>
      </c>
      <c r="AB643">
        <f t="shared" si="547"/>
        <v>1783.85</v>
      </c>
      <c r="AC643">
        <f>ROUND((ES643),6)</f>
        <v>80.67</v>
      </c>
      <c r="AD643">
        <f>ROUND((((ET643)-(EU643))+AE643),6)</f>
        <v>0</v>
      </c>
      <c r="AE643">
        <f>ROUND((EU643),6)</f>
        <v>0</v>
      </c>
      <c r="AF643">
        <f>ROUND((EV643),6)</f>
        <v>1703.18</v>
      </c>
      <c r="AG643">
        <f t="shared" si="548"/>
        <v>0</v>
      </c>
      <c r="AH643">
        <f>(EW643)</f>
        <v>2.4</v>
      </c>
      <c r="AI643">
        <f>(EX643)</f>
        <v>0</v>
      </c>
      <c r="AJ643">
        <f t="shared" si="549"/>
        <v>0</v>
      </c>
      <c r="AK643">
        <v>1783.85</v>
      </c>
      <c r="AL643">
        <v>80.67</v>
      </c>
      <c r="AM643">
        <v>0</v>
      </c>
      <c r="AN643">
        <v>0</v>
      </c>
      <c r="AO643">
        <v>1703.18</v>
      </c>
      <c r="AP643">
        <v>0</v>
      </c>
      <c r="AQ643">
        <v>2.4</v>
      </c>
      <c r="AR643">
        <v>0</v>
      </c>
      <c r="AS643">
        <v>0</v>
      </c>
      <c r="AT643">
        <v>70</v>
      </c>
      <c r="AU643">
        <v>10</v>
      </c>
      <c r="AV643">
        <v>1</v>
      </c>
      <c r="AW643">
        <v>1</v>
      </c>
      <c r="AZ643">
        <v>1</v>
      </c>
      <c r="BA643">
        <v>1</v>
      </c>
      <c r="BB643">
        <v>1</v>
      </c>
      <c r="BC643">
        <v>1</v>
      </c>
      <c r="BD643" t="s">
        <v>3</v>
      </c>
      <c r="BE643" t="s">
        <v>3</v>
      </c>
      <c r="BF643" t="s">
        <v>3</v>
      </c>
      <c r="BG643" t="s">
        <v>3</v>
      </c>
      <c r="BH643">
        <v>0</v>
      </c>
      <c r="BI643">
        <v>4</v>
      </c>
      <c r="BJ643" t="s">
        <v>380</v>
      </c>
      <c r="BM643">
        <v>0</v>
      </c>
      <c r="BN643">
        <v>0</v>
      </c>
      <c r="BO643" t="s">
        <v>3</v>
      </c>
      <c r="BP643">
        <v>0</v>
      </c>
      <c r="BQ643">
        <v>1</v>
      </c>
      <c r="BR643">
        <v>0</v>
      </c>
      <c r="BS643">
        <v>1</v>
      </c>
      <c r="BT643">
        <v>1</v>
      </c>
      <c r="BU643">
        <v>1</v>
      </c>
      <c r="BV643">
        <v>1</v>
      </c>
      <c r="BW643">
        <v>1</v>
      </c>
      <c r="BX643">
        <v>1</v>
      </c>
      <c r="BY643" t="s">
        <v>3</v>
      </c>
      <c r="BZ643">
        <v>70</v>
      </c>
      <c r="CA643">
        <v>10</v>
      </c>
      <c r="CB643" t="s">
        <v>3</v>
      </c>
      <c r="CE643">
        <v>0</v>
      </c>
      <c r="CF643">
        <v>0</v>
      </c>
      <c r="CG643">
        <v>0</v>
      </c>
      <c r="CM643">
        <v>0</v>
      </c>
      <c r="CN643" t="s">
        <v>3</v>
      </c>
      <c r="CO643">
        <v>0</v>
      </c>
      <c r="CP643">
        <f t="shared" si="550"/>
        <v>356.77</v>
      </c>
      <c r="CQ643">
        <f t="shared" si="551"/>
        <v>80.67</v>
      </c>
      <c r="CR643">
        <f>((((ET643)*BB643-(EU643)*BS643)+AE643*BS643)*AV643)</f>
        <v>0</v>
      </c>
      <c r="CS643">
        <f t="shared" si="552"/>
        <v>0</v>
      </c>
      <c r="CT643">
        <f t="shared" si="553"/>
        <v>1703.18</v>
      </c>
      <c r="CU643">
        <f t="shared" si="554"/>
        <v>0</v>
      </c>
      <c r="CV643">
        <f t="shared" si="555"/>
        <v>2.4</v>
      </c>
      <c r="CW643">
        <f t="shared" si="556"/>
        <v>0</v>
      </c>
      <c r="CX643">
        <f t="shared" si="557"/>
        <v>0</v>
      </c>
      <c r="CY643">
        <f t="shared" si="558"/>
        <v>238.44799999999998</v>
      </c>
      <c r="CZ643">
        <f t="shared" si="559"/>
        <v>34.063999999999993</v>
      </c>
      <c r="DC643" t="s">
        <v>3</v>
      </c>
      <c r="DD643" t="s">
        <v>3</v>
      </c>
      <c r="DE643" t="s">
        <v>3</v>
      </c>
      <c r="DF643" t="s">
        <v>3</v>
      </c>
      <c r="DG643" t="s">
        <v>3</v>
      </c>
      <c r="DH643" t="s">
        <v>3</v>
      </c>
      <c r="DI643" t="s">
        <v>3</v>
      </c>
      <c r="DJ643" t="s">
        <v>3</v>
      </c>
      <c r="DK643" t="s">
        <v>3</v>
      </c>
      <c r="DL643" t="s">
        <v>3</v>
      </c>
      <c r="DM643" t="s">
        <v>3</v>
      </c>
      <c r="DN643">
        <v>0</v>
      </c>
      <c r="DO643">
        <v>0</v>
      </c>
      <c r="DP643">
        <v>1</v>
      </c>
      <c r="DQ643">
        <v>1</v>
      </c>
      <c r="DU643">
        <v>16987630</v>
      </c>
      <c r="DV643" t="s">
        <v>40</v>
      </c>
      <c r="DW643" t="s">
        <v>40</v>
      </c>
      <c r="DX643">
        <v>10</v>
      </c>
      <c r="DZ643" t="s">
        <v>3</v>
      </c>
      <c r="EA643" t="s">
        <v>3</v>
      </c>
      <c r="EB643" t="s">
        <v>3</v>
      </c>
      <c r="EC643" t="s">
        <v>3</v>
      </c>
      <c r="EE643">
        <v>1441815344</v>
      </c>
      <c r="EF643">
        <v>1</v>
      </c>
      <c r="EG643" t="s">
        <v>19</v>
      </c>
      <c r="EH643">
        <v>0</v>
      </c>
      <c r="EI643" t="s">
        <v>3</v>
      </c>
      <c r="EJ643">
        <v>4</v>
      </c>
      <c r="EK643">
        <v>0</v>
      </c>
      <c r="EL643" t="s">
        <v>20</v>
      </c>
      <c r="EM643" t="s">
        <v>21</v>
      </c>
      <c r="EO643" t="s">
        <v>3</v>
      </c>
      <c r="EQ643">
        <v>0</v>
      </c>
      <c r="ER643">
        <v>1783.85</v>
      </c>
      <c r="ES643">
        <v>80.67</v>
      </c>
      <c r="ET643">
        <v>0</v>
      </c>
      <c r="EU643">
        <v>0</v>
      </c>
      <c r="EV643">
        <v>1703.18</v>
      </c>
      <c r="EW643">
        <v>2.4</v>
      </c>
      <c r="EX643">
        <v>0</v>
      </c>
      <c r="EY643">
        <v>0</v>
      </c>
      <c r="FQ643">
        <v>0</v>
      </c>
      <c r="FR643">
        <f t="shared" si="560"/>
        <v>0</v>
      </c>
      <c r="FS643">
        <v>0</v>
      </c>
      <c r="FX643">
        <v>70</v>
      </c>
      <c r="FY643">
        <v>10</v>
      </c>
      <c r="GA643" t="s">
        <v>3</v>
      </c>
      <c r="GD643">
        <v>0</v>
      </c>
      <c r="GF643">
        <v>275629574</v>
      </c>
      <c r="GG643">
        <v>2</v>
      </c>
      <c r="GH643">
        <v>1</v>
      </c>
      <c r="GI643">
        <v>-2</v>
      </c>
      <c r="GJ643">
        <v>0</v>
      </c>
      <c r="GK643">
        <f>ROUND(R643*(R12)/100,2)</f>
        <v>0</v>
      </c>
      <c r="GL643">
        <f t="shared" si="561"/>
        <v>0</v>
      </c>
      <c r="GM643">
        <f t="shared" si="562"/>
        <v>629.28</v>
      </c>
      <c r="GN643">
        <f t="shared" si="563"/>
        <v>0</v>
      </c>
      <c r="GO643">
        <f t="shared" si="564"/>
        <v>0</v>
      </c>
      <c r="GP643">
        <f t="shared" si="565"/>
        <v>629.28</v>
      </c>
      <c r="GR643">
        <v>0</v>
      </c>
      <c r="GS643">
        <v>3</v>
      </c>
      <c r="GT643">
        <v>0</v>
      </c>
      <c r="GU643" t="s">
        <v>3</v>
      </c>
      <c r="GV643">
        <f t="shared" si="566"/>
        <v>0</v>
      </c>
      <c r="GW643">
        <v>1</v>
      </c>
      <c r="GX643">
        <f t="shared" si="567"/>
        <v>0</v>
      </c>
      <c r="HA643">
        <v>0</v>
      </c>
      <c r="HB643">
        <v>0</v>
      </c>
      <c r="HC643">
        <f t="shared" si="568"/>
        <v>0</v>
      </c>
      <c r="HE643" t="s">
        <v>3</v>
      </c>
      <c r="HF643" t="s">
        <v>3</v>
      </c>
      <c r="HM643" t="s">
        <v>3</v>
      </c>
      <c r="HN643" t="s">
        <v>3</v>
      </c>
      <c r="HO643" t="s">
        <v>3</v>
      </c>
      <c r="HP643" t="s">
        <v>3</v>
      </c>
      <c r="HQ643" t="s">
        <v>3</v>
      </c>
      <c r="IK643">
        <v>0</v>
      </c>
    </row>
    <row r="644" spans="1:245" x14ac:dyDescent="0.2">
      <c r="A644">
        <v>17</v>
      </c>
      <c r="B644">
        <v>1</v>
      </c>
      <c r="D644">
        <f>ROW(EtalonRes!A398)</f>
        <v>398</v>
      </c>
      <c r="E644" t="s">
        <v>522</v>
      </c>
      <c r="F644" t="s">
        <v>523</v>
      </c>
      <c r="G644" t="s">
        <v>524</v>
      </c>
      <c r="H644" t="s">
        <v>31</v>
      </c>
      <c r="I644">
        <v>1</v>
      </c>
      <c r="J644">
        <v>0</v>
      </c>
      <c r="K644">
        <v>1</v>
      </c>
      <c r="O644">
        <f t="shared" si="536"/>
        <v>963.74</v>
      </c>
      <c r="P644">
        <f t="shared" si="537"/>
        <v>8.18</v>
      </c>
      <c r="Q644">
        <f t="shared" si="538"/>
        <v>0</v>
      </c>
      <c r="R644">
        <f t="shared" si="539"/>
        <v>0</v>
      </c>
      <c r="S644">
        <f t="shared" si="540"/>
        <v>955.56</v>
      </c>
      <c r="T644">
        <f t="shared" si="541"/>
        <v>0</v>
      </c>
      <c r="U644">
        <f t="shared" si="542"/>
        <v>1.44</v>
      </c>
      <c r="V644">
        <f t="shared" si="543"/>
        <v>0</v>
      </c>
      <c r="W644">
        <f t="shared" si="544"/>
        <v>0</v>
      </c>
      <c r="X644">
        <f t="shared" si="545"/>
        <v>668.89</v>
      </c>
      <c r="Y644">
        <f t="shared" si="546"/>
        <v>95.56</v>
      </c>
      <c r="AA644">
        <v>1471988752</v>
      </c>
      <c r="AB644">
        <f t="shared" si="547"/>
        <v>963.74</v>
      </c>
      <c r="AC644">
        <f>ROUND(((ES644*2)),6)</f>
        <v>8.18</v>
      </c>
      <c r="AD644">
        <f>ROUND(((((ET644*2))-((EU644*2)))+AE644),6)</f>
        <v>0</v>
      </c>
      <c r="AE644">
        <f t="shared" ref="AE644:AF648" si="569">ROUND(((EU644*2)),6)</f>
        <v>0</v>
      </c>
      <c r="AF644">
        <f t="shared" si="569"/>
        <v>955.56</v>
      </c>
      <c r="AG644">
        <f t="shared" si="548"/>
        <v>0</v>
      </c>
      <c r="AH644">
        <f t="shared" ref="AH644:AI648" si="570">((EW644*2))</f>
        <v>1.44</v>
      </c>
      <c r="AI644">
        <f t="shared" si="570"/>
        <v>0</v>
      </c>
      <c r="AJ644">
        <f t="shared" si="549"/>
        <v>0</v>
      </c>
      <c r="AK644">
        <v>481.87</v>
      </c>
      <c r="AL644">
        <v>4.09</v>
      </c>
      <c r="AM644">
        <v>0</v>
      </c>
      <c r="AN644">
        <v>0</v>
      </c>
      <c r="AO644">
        <v>477.78</v>
      </c>
      <c r="AP644">
        <v>0</v>
      </c>
      <c r="AQ644">
        <v>0.72</v>
      </c>
      <c r="AR644">
        <v>0</v>
      </c>
      <c r="AS644">
        <v>0</v>
      </c>
      <c r="AT644">
        <v>70</v>
      </c>
      <c r="AU644">
        <v>10</v>
      </c>
      <c r="AV644">
        <v>1</v>
      </c>
      <c r="AW644">
        <v>1</v>
      </c>
      <c r="AZ644">
        <v>1</v>
      </c>
      <c r="BA644">
        <v>1</v>
      </c>
      <c r="BB644">
        <v>1</v>
      </c>
      <c r="BC644">
        <v>1</v>
      </c>
      <c r="BD644" t="s">
        <v>3</v>
      </c>
      <c r="BE644" t="s">
        <v>3</v>
      </c>
      <c r="BF644" t="s">
        <v>3</v>
      </c>
      <c r="BG644" t="s">
        <v>3</v>
      </c>
      <c r="BH644">
        <v>0</v>
      </c>
      <c r="BI644">
        <v>4</v>
      </c>
      <c r="BJ644" t="s">
        <v>525</v>
      </c>
      <c r="BM644">
        <v>0</v>
      </c>
      <c r="BN644">
        <v>0</v>
      </c>
      <c r="BO644" t="s">
        <v>3</v>
      </c>
      <c r="BP644">
        <v>0</v>
      </c>
      <c r="BQ644">
        <v>1</v>
      </c>
      <c r="BR644">
        <v>0</v>
      </c>
      <c r="BS644">
        <v>1</v>
      </c>
      <c r="BT644">
        <v>1</v>
      </c>
      <c r="BU644">
        <v>1</v>
      </c>
      <c r="BV644">
        <v>1</v>
      </c>
      <c r="BW644">
        <v>1</v>
      </c>
      <c r="BX644">
        <v>1</v>
      </c>
      <c r="BY644" t="s">
        <v>3</v>
      </c>
      <c r="BZ644">
        <v>70</v>
      </c>
      <c r="CA644">
        <v>10</v>
      </c>
      <c r="CB644" t="s">
        <v>3</v>
      </c>
      <c r="CE644">
        <v>0</v>
      </c>
      <c r="CF644">
        <v>0</v>
      </c>
      <c r="CG644">
        <v>0</v>
      </c>
      <c r="CM644">
        <v>0</v>
      </c>
      <c r="CN644" t="s">
        <v>3</v>
      </c>
      <c r="CO644">
        <v>0</v>
      </c>
      <c r="CP644">
        <f t="shared" si="550"/>
        <v>963.7399999999999</v>
      </c>
      <c r="CQ644">
        <f t="shared" si="551"/>
        <v>8.18</v>
      </c>
      <c r="CR644">
        <f>(((((ET644*2))*BB644-((EU644*2))*BS644)+AE644*BS644)*AV644)</f>
        <v>0</v>
      </c>
      <c r="CS644">
        <f t="shared" si="552"/>
        <v>0</v>
      </c>
      <c r="CT644">
        <f t="shared" si="553"/>
        <v>955.56</v>
      </c>
      <c r="CU644">
        <f t="shared" si="554"/>
        <v>0</v>
      </c>
      <c r="CV644">
        <f t="shared" si="555"/>
        <v>1.44</v>
      </c>
      <c r="CW644">
        <f t="shared" si="556"/>
        <v>0</v>
      </c>
      <c r="CX644">
        <f t="shared" si="557"/>
        <v>0</v>
      </c>
      <c r="CY644">
        <f t="shared" si="558"/>
        <v>668.89199999999994</v>
      </c>
      <c r="CZ644">
        <f t="shared" si="559"/>
        <v>95.555999999999983</v>
      </c>
      <c r="DC644" t="s">
        <v>3</v>
      </c>
      <c r="DD644" t="s">
        <v>117</v>
      </c>
      <c r="DE644" t="s">
        <v>117</v>
      </c>
      <c r="DF644" t="s">
        <v>117</v>
      </c>
      <c r="DG644" t="s">
        <v>117</v>
      </c>
      <c r="DH644" t="s">
        <v>3</v>
      </c>
      <c r="DI644" t="s">
        <v>117</v>
      </c>
      <c r="DJ644" t="s">
        <v>117</v>
      </c>
      <c r="DK644" t="s">
        <v>3</v>
      </c>
      <c r="DL644" t="s">
        <v>3</v>
      </c>
      <c r="DM644" t="s">
        <v>3</v>
      </c>
      <c r="DN644">
        <v>0</v>
      </c>
      <c r="DO644">
        <v>0</v>
      </c>
      <c r="DP644">
        <v>1</v>
      </c>
      <c r="DQ644">
        <v>1</v>
      </c>
      <c r="DU644">
        <v>16987630</v>
      </c>
      <c r="DV644" t="s">
        <v>31</v>
      </c>
      <c r="DW644" t="s">
        <v>31</v>
      </c>
      <c r="DX644">
        <v>1</v>
      </c>
      <c r="DZ644" t="s">
        <v>3</v>
      </c>
      <c r="EA644" t="s">
        <v>3</v>
      </c>
      <c r="EB644" t="s">
        <v>3</v>
      </c>
      <c r="EC644" t="s">
        <v>3</v>
      </c>
      <c r="EE644">
        <v>1441815344</v>
      </c>
      <c r="EF644">
        <v>1</v>
      </c>
      <c r="EG644" t="s">
        <v>19</v>
      </c>
      <c r="EH644">
        <v>0</v>
      </c>
      <c r="EI644" t="s">
        <v>3</v>
      </c>
      <c r="EJ644">
        <v>4</v>
      </c>
      <c r="EK644">
        <v>0</v>
      </c>
      <c r="EL644" t="s">
        <v>20</v>
      </c>
      <c r="EM644" t="s">
        <v>21</v>
      </c>
      <c r="EO644" t="s">
        <v>3</v>
      </c>
      <c r="EQ644">
        <v>0</v>
      </c>
      <c r="ER644">
        <v>481.87</v>
      </c>
      <c r="ES644">
        <v>4.09</v>
      </c>
      <c r="ET644">
        <v>0</v>
      </c>
      <c r="EU644">
        <v>0</v>
      </c>
      <c r="EV644">
        <v>477.78</v>
      </c>
      <c r="EW644">
        <v>0.72</v>
      </c>
      <c r="EX644">
        <v>0</v>
      </c>
      <c r="EY644">
        <v>0</v>
      </c>
      <c r="FQ644">
        <v>0</v>
      </c>
      <c r="FR644">
        <f t="shared" si="560"/>
        <v>0</v>
      </c>
      <c r="FS644">
        <v>0</v>
      </c>
      <c r="FX644">
        <v>70</v>
      </c>
      <c r="FY644">
        <v>10</v>
      </c>
      <c r="GA644" t="s">
        <v>3</v>
      </c>
      <c r="GD644">
        <v>0</v>
      </c>
      <c r="GF644">
        <v>59605564</v>
      </c>
      <c r="GG644">
        <v>2</v>
      </c>
      <c r="GH644">
        <v>1</v>
      </c>
      <c r="GI644">
        <v>-2</v>
      </c>
      <c r="GJ644">
        <v>0</v>
      </c>
      <c r="GK644">
        <f>ROUND(R644*(R12)/100,2)</f>
        <v>0</v>
      </c>
      <c r="GL644">
        <f t="shared" si="561"/>
        <v>0</v>
      </c>
      <c r="GM644">
        <f t="shared" si="562"/>
        <v>1728.19</v>
      </c>
      <c r="GN644">
        <f t="shared" si="563"/>
        <v>0</v>
      </c>
      <c r="GO644">
        <f t="shared" si="564"/>
        <v>0</v>
      </c>
      <c r="GP644">
        <f t="shared" si="565"/>
        <v>1728.19</v>
      </c>
      <c r="GR644">
        <v>0</v>
      </c>
      <c r="GS644">
        <v>3</v>
      </c>
      <c r="GT644">
        <v>0</v>
      </c>
      <c r="GU644" t="s">
        <v>3</v>
      </c>
      <c r="GV644">
        <f t="shared" si="566"/>
        <v>0</v>
      </c>
      <c r="GW644">
        <v>1</v>
      </c>
      <c r="GX644">
        <f t="shared" si="567"/>
        <v>0</v>
      </c>
      <c r="HA644">
        <v>0</v>
      </c>
      <c r="HB644">
        <v>0</v>
      </c>
      <c r="HC644">
        <f t="shared" si="568"/>
        <v>0</v>
      </c>
      <c r="HE644" t="s">
        <v>3</v>
      </c>
      <c r="HF644" t="s">
        <v>3</v>
      </c>
      <c r="HM644" t="s">
        <v>3</v>
      </c>
      <c r="HN644" t="s">
        <v>3</v>
      </c>
      <c r="HO644" t="s">
        <v>3</v>
      </c>
      <c r="HP644" t="s">
        <v>3</v>
      </c>
      <c r="HQ644" t="s">
        <v>3</v>
      </c>
      <c r="IK644">
        <v>0</v>
      </c>
    </row>
    <row r="645" spans="1:245" x14ac:dyDescent="0.2">
      <c r="A645">
        <v>17</v>
      </c>
      <c r="B645">
        <v>1</v>
      </c>
      <c r="D645">
        <f>ROW(EtalonRes!A401)</f>
        <v>401</v>
      </c>
      <c r="E645" t="s">
        <v>3</v>
      </c>
      <c r="F645" t="s">
        <v>526</v>
      </c>
      <c r="G645" t="s">
        <v>527</v>
      </c>
      <c r="H645" t="s">
        <v>31</v>
      </c>
      <c r="I645">
        <v>1</v>
      </c>
      <c r="J645">
        <v>0</v>
      </c>
      <c r="K645">
        <v>1</v>
      </c>
      <c r="O645">
        <f t="shared" si="536"/>
        <v>280.94</v>
      </c>
      <c r="P645">
        <f t="shared" si="537"/>
        <v>15.5</v>
      </c>
      <c r="Q645">
        <f t="shared" si="538"/>
        <v>0</v>
      </c>
      <c r="R645">
        <f t="shared" si="539"/>
        <v>0</v>
      </c>
      <c r="S645">
        <f t="shared" si="540"/>
        <v>265.44</v>
      </c>
      <c r="T645">
        <f t="shared" si="541"/>
        <v>0</v>
      </c>
      <c r="U645">
        <f t="shared" si="542"/>
        <v>0.4</v>
      </c>
      <c r="V645">
        <f t="shared" si="543"/>
        <v>0</v>
      </c>
      <c r="W645">
        <f t="shared" si="544"/>
        <v>0</v>
      </c>
      <c r="X645">
        <f t="shared" si="545"/>
        <v>185.81</v>
      </c>
      <c r="Y645">
        <f t="shared" si="546"/>
        <v>26.54</v>
      </c>
      <c r="AA645">
        <v>-1</v>
      </c>
      <c r="AB645">
        <f t="shared" si="547"/>
        <v>280.94</v>
      </c>
      <c r="AC645">
        <f>ROUND(((ES645*2)),6)</f>
        <v>15.5</v>
      </c>
      <c r="AD645">
        <f>ROUND(((((ET645*2))-((EU645*2)))+AE645),6)</f>
        <v>0</v>
      </c>
      <c r="AE645">
        <f t="shared" si="569"/>
        <v>0</v>
      </c>
      <c r="AF645">
        <f t="shared" si="569"/>
        <v>265.44</v>
      </c>
      <c r="AG645">
        <f t="shared" si="548"/>
        <v>0</v>
      </c>
      <c r="AH645">
        <f t="shared" si="570"/>
        <v>0.4</v>
      </c>
      <c r="AI645">
        <f t="shared" si="570"/>
        <v>0</v>
      </c>
      <c r="AJ645">
        <f t="shared" si="549"/>
        <v>0</v>
      </c>
      <c r="AK645">
        <v>140.47</v>
      </c>
      <c r="AL645">
        <v>7.75</v>
      </c>
      <c r="AM645">
        <v>0</v>
      </c>
      <c r="AN645">
        <v>0</v>
      </c>
      <c r="AO645">
        <v>132.72</v>
      </c>
      <c r="AP645">
        <v>0</v>
      </c>
      <c r="AQ645">
        <v>0.2</v>
      </c>
      <c r="AR645">
        <v>0</v>
      </c>
      <c r="AS645">
        <v>0</v>
      </c>
      <c r="AT645">
        <v>70</v>
      </c>
      <c r="AU645">
        <v>10</v>
      </c>
      <c r="AV645">
        <v>1</v>
      </c>
      <c r="AW645">
        <v>1</v>
      </c>
      <c r="AZ645">
        <v>1</v>
      </c>
      <c r="BA645">
        <v>1</v>
      </c>
      <c r="BB645">
        <v>1</v>
      </c>
      <c r="BC645">
        <v>1</v>
      </c>
      <c r="BD645" t="s">
        <v>3</v>
      </c>
      <c r="BE645" t="s">
        <v>3</v>
      </c>
      <c r="BF645" t="s">
        <v>3</v>
      </c>
      <c r="BG645" t="s">
        <v>3</v>
      </c>
      <c r="BH645">
        <v>0</v>
      </c>
      <c r="BI645">
        <v>4</v>
      </c>
      <c r="BJ645" t="s">
        <v>528</v>
      </c>
      <c r="BM645">
        <v>0</v>
      </c>
      <c r="BN645">
        <v>0</v>
      </c>
      <c r="BO645" t="s">
        <v>3</v>
      </c>
      <c r="BP645">
        <v>0</v>
      </c>
      <c r="BQ645">
        <v>1</v>
      </c>
      <c r="BR645">
        <v>0</v>
      </c>
      <c r="BS645">
        <v>1</v>
      </c>
      <c r="BT645">
        <v>1</v>
      </c>
      <c r="BU645">
        <v>1</v>
      </c>
      <c r="BV645">
        <v>1</v>
      </c>
      <c r="BW645">
        <v>1</v>
      </c>
      <c r="BX645">
        <v>1</v>
      </c>
      <c r="BY645" t="s">
        <v>3</v>
      </c>
      <c r="BZ645">
        <v>70</v>
      </c>
      <c r="CA645">
        <v>10</v>
      </c>
      <c r="CB645" t="s">
        <v>3</v>
      </c>
      <c r="CE645">
        <v>0</v>
      </c>
      <c r="CF645">
        <v>0</v>
      </c>
      <c r="CG645">
        <v>0</v>
      </c>
      <c r="CM645">
        <v>0</v>
      </c>
      <c r="CN645" t="s">
        <v>3</v>
      </c>
      <c r="CO645">
        <v>0</v>
      </c>
      <c r="CP645">
        <f t="shared" si="550"/>
        <v>280.94</v>
      </c>
      <c r="CQ645">
        <f t="shared" si="551"/>
        <v>15.5</v>
      </c>
      <c r="CR645">
        <f>(((((ET645*2))*BB645-((EU645*2))*BS645)+AE645*BS645)*AV645)</f>
        <v>0</v>
      </c>
      <c r="CS645">
        <f t="shared" si="552"/>
        <v>0</v>
      </c>
      <c r="CT645">
        <f t="shared" si="553"/>
        <v>265.44</v>
      </c>
      <c r="CU645">
        <f t="shared" si="554"/>
        <v>0</v>
      </c>
      <c r="CV645">
        <f t="shared" si="555"/>
        <v>0.4</v>
      </c>
      <c r="CW645">
        <f t="shared" si="556"/>
        <v>0</v>
      </c>
      <c r="CX645">
        <f t="shared" si="557"/>
        <v>0</v>
      </c>
      <c r="CY645">
        <f t="shared" si="558"/>
        <v>185.80799999999999</v>
      </c>
      <c r="CZ645">
        <f t="shared" si="559"/>
        <v>26.544</v>
      </c>
      <c r="DC645" t="s">
        <v>3</v>
      </c>
      <c r="DD645" t="s">
        <v>117</v>
      </c>
      <c r="DE645" t="s">
        <v>117</v>
      </c>
      <c r="DF645" t="s">
        <v>117</v>
      </c>
      <c r="DG645" t="s">
        <v>117</v>
      </c>
      <c r="DH645" t="s">
        <v>3</v>
      </c>
      <c r="DI645" t="s">
        <v>117</v>
      </c>
      <c r="DJ645" t="s">
        <v>117</v>
      </c>
      <c r="DK645" t="s">
        <v>3</v>
      </c>
      <c r="DL645" t="s">
        <v>3</v>
      </c>
      <c r="DM645" t="s">
        <v>3</v>
      </c>
      <c r="DN645">
        <v>0</v>
      </c>
      <c r="DO645">
        <v>0</v>
      </c>
      <c r="DP645">
        <v>1</v>
      </c>
      <c r="DQ645">
        <v>1</v>
      </c>
      <c r="DU645">
        <v>16987630</v>
      </c>
      <c r="DV645" t="s">
        <v>31</v>
      </c>
      <c r="DW645" t="s">
        <v>31</v>
      </c>
      <c r="DX645">
        <v>1</v>
      </c>
      <c r="DZ645" t="s">
        <v>3</v>
      </c>
      <c r="EA645" t="s">
        <v>3</v>
      </c>
      <c r="EB645" t="s">
        <v>3</v>
      </c>
      <c r="EC645" t="s">
        <v>3</v>
      </c>
      <c r="EE645">
        <v>1441815344</v>
      </c>
      <c r="EF645">
        <v>1</v>
      </c>
      <c r="EG645" t="s">
        <v>19</v>
      </c>
      <c r="EH645">
        <v>0</v>
      </c>
      <c r="EI645" t="s">
        <v>3</v>
      </c>
      <c r="EJ645">
        <v>4</v>
      </c>
      <c r="EK645">
        <v>0</v>
      </c>
      <c r="EL645" t="s">
        <v>20</v>
      </c>
      <c r="EM645" t="s">
        <v>21</v>
      </c>
      <c r="EO645" t="s">
        <v>3</v>
      </c>
      <c r="EQ645">
        <v>1024</v>
      </c>
      <c r="ER645">
        <v>140.47</v>
      </c>
      <c r="ES645">
        <v>7.75</v>
      </c>
      <c r="ET645">
        <v>0</v>
      </c>
      <c r="EU645">
        <v>0</v>
      </c>
      <c r="EV645">
        <v>132.72</v>
      </c>
      <c r="EW645">
        <v>0.2</v>
      </c>
      <c r="EX645">
        <v>0</v>
      </c>
      <c r="EY645">
        <v>0</v>
      </c>
      <c r="FQ645">
        <v>0</v>
      </c>
      <c r="FR645">
        <f t="shared" si="560"/>
        <v>0</v>
      </c>
      <c r="FS645">
        <v>0</v>
      </c>
      <c r="FX645">
        <v>70</v>
      </c>
      <c r="FY645">
        <v>10</v>
      </c>
      <c r="GA645" t="s">
        <v>3</v>
      </c>
      <c r="GD645">
        <v>0</v>
      </c>
      <c r="GF645">
        <v>1834106200</v>
      </c>
      <c r="GG645">
        <v>2</v>
      </c>
      <c r="GH645">
        <v>1</v>
      </c>
      <c r="GI645">
        <v>-2</v>
      </c>
      <c r="GJ645">
        <v>0</v>
      </c>
      <c r="GK645">
        <f>ROUND(R645*(R12)/100,2)</f>
        <v>0</v>
      </c>
      <c r="GL645">
        <f t="shared" si="561"/>
        <v>0</v>
      </c>
      <c r="GM645">
        <f t="shared" si="562"/>
        <v>493.29</v>
      </c>
      <c r="GN645">
        <f t="shared" si="563"/>
        <v>0</v>
      </c>
      <c r="GO645">
        <f t="shared" si="564"/>
        <v>0</v>
      </c>
      <c r="GP645">
        <f t="shared" si="565"/>
        <v>493.29</v>
      </c>
      <c r="GR645">
        <v>0</v>
      </c>
      <c r="GS645">
        <v>3</v>
      </c>
      <c r="GT645">
        <v>0</v>
      </c>
      <c r="GU645" t="s">
        <v>3</v>
      </c>
      <c r="GV645">
        <f t="shared" si="566"/>
        <v>0</v>
      </c>
      <c r="GW645">
        <v>1</v>
      </c>
      <c r="GX645">
        <f t="shared" si="567"/>
        <v>0</v>
      </c>
      <c r="HA645">
        <v>0</v>
      </c>
      <c r="HB645">
        <v>0</v>
      </c>
      <c r="HC645">
        <f t="shared" si="568"/>
        <v>0</v>
      </c>
      <c r="HE645" t="s">
        <v>3</v>
      </c>
      <c r="HF645" t="s">
        <v>3</v>
      </c>
      <c r="HM645" t="s">
        <v>3</v>
      </c>
      <c r="HN645" t="s">
        <v>3</v>
      </c>
      <c r="HO645" t="s">
        <v>3</v>
      </c>
      <c r="HP645" t="s">
        <v>3</v>
      </c>
      <c r="HQ645" t="s">
        <v>3</v>
      </c>
      <c r="IK645">
        <v>0</v>
      </c>
    </row>
    <row r="646" spans="1:245" x14ac:dyDescent="0.2">
      <c r="A646">
        <v>17</v>
      </c>
      <c r="B646">
        <v>1</v>
      </c>
      <c r="D646">
        <f>ROW(EtalonRes!A404)</f>
        <v>404</v>
      </c>
      <c r="E646" t="s">
        <v>529</v>
      </c>
      <c r="F646" t="s">
        <v>530</v>
      </c>
      <c r="G646" t="s">
        <v>531</v>
      </c>
      <c r="H646" t="s">
        <v>31</v>
      </c>
      <c r="I646">
        <v>1</v>
      </c>
      <c r="J646">
        <v>0</v>
      </c>
      <c r="K646">
        <v>1</v>
      </c>
      <c r="O646">
        <f t="shared" si="536"/>
        <v>5289.82</v>
      </c>
      <c r="P646">
        <f t="shared" si="537"/>
        <v>9.94</v>
      </c>
      <c r="Q646">
        <f t="shared" si="538"/>
        <v>0</v>
      </c>
      <c r="R646">
        <f t="shared" si="539"/>
        <v>0</v>
      </c>
      <c r="S646">
        <f t="shared" si="540"/>
        <v>5279.88</v>
      </c>
      <c r="T646">
        <f t="shared" si="541"/>
        <v>0</v>
      </c>
      <c r="U646">
        <f t="shared" si="542"/>
        <v>7.44</v>
      </c>
      <c r="V646">
        <f t="shared" si="543"/>
        <v>0</v>
      </c>
      <c r="W646">
        <f t="shared" si="544"/>
        <v>0</v>
      </c>
      <c r="X646">
        <f t="shared" si="545"/>
        <v>3695.92</v>
      </c>
      <c r="Y646">
        <f t="shared" si="546"/>
        <v>527.99</v>
      </c>
      <c r="AA646">
        <v>1471988752</v>
      </c>
      <c r="AB646">
        <f t="shared" si="547"/>
        <v>5289.82</v>
      </c>
      <c r="AC646">
        <f>ROUND(((ES646*2)),6)</f>
        <v>9.94</v>
      </c>
      <c r="AD646">
        <f>ROUND(((((ET646*2))-((EU646*2)))+AE646),6)</f>
        <v>0</v>
      </c>
      <c r="AE646">
        <f t="shared" si="569"/>
        <v>0</v>
      </c>
      <c r="AF646">
        <f t="shared" si="569"/>
        <v>5279.88</v>
      </c>
      <c r="AG646">
        <f t="shared" si="548"/>
        <v>0</v>
      </c>
      <c r="AH646">
        <f t="shared" si="570"/>
        <v>7.44</v>
      </c>
      <c r="AI646">
        <f t="shared" si="570"/>
        <v>0</v>
      </c>
      <c r="AJ646">
        <f t="shared" si="549"/>
        <v>0</v>
      </c>
      <c r="AK646">
        <v>2644.91</v>
      </c>
      <c r="AL646">
        <v>4.97</v>
      </c>
      <c r="AM646">
        <v>0</v>
      </c>
      <c r="AN646">
        <v>0</v>
      </c>
      <c r="AO646">
        <v>2639.94</v>
      </c>
      <c r="AP646">
        <v>0</v>
      </c>
      <c r="AQ646">
        <v>3.72</v>
      </c>
      <c r="AR646">
        <v>0</v>
      </c>
      <c r="AS646">
        <v>0</v>
      </c>
      <c r="AT646">
        <v>70</v>
      </c>
      <c r="AU646">
        <v>10</v>
      </c>
      <c r="AV646">
        <v>1</v>
      </c>
      <c r="AW646">
        <v>1</v>
      </c>
      <c r="AZ646">
        <v>1</v>
      </c>
      <c r="BA646">
        <v>1</v>
      </c>
      <c r="BB646">
        <v>1</v>
      </c>
      <c r="BC646">
        <v>1</v>
      </c>
      <c r="BD646" t="s">
        <v>3</v>
      </c>
      <c r="BE646" t="s">
        <v>3</v>
      </c>
      <c r="BF646" t="s">
        <v>3</v>
      </c>
      <c r="BG646" t="s">
        <v>3</v>
      </c>
      <c r="BH646">
        <v>0</v>
      </c>
      <c r="BI646">
        <v>4</v>
      </c>
      <c r="BJ646" t="s">
        <v>532</v>
      </c>
      <c r="BM646">
        <v>0</v>
      </c>
      <c r="BN646">
        <v>0</v>
      </c>
      <c r="BO646" t="s">
        <v>3</v>
      </c>
      <c r="BP646">
        <v>0</v>
      </c>
      <c r="BQ646">
        <v>1</v>
      </c>
      <c r="BR646">
        <v>0</v>
      </c>
      <c r="BS646">
        <v>1</v>
      </c>
      <c r="BT646">
        <v>1</v>
      </c>
      <c r="BU646">
        <v>1</v>
      </c>
      <c r="BV646">
        <v>1</v>
      </c>
      <c r="BW646">
        <v>1</v>
      </c>
      <c r="BX646">
        <v>1</v>
      </c>
      <c r="BY646" t="s">
        <v>3</v>
      </c>
      <c r="BZ646">
        <v>70</v>
      </c>
      <c r="CA646">
        <v>10</v>
      </c>
      <c r="CB646" t="s">
        <v>3</v>
      </c>
      <c r="CE646">
        <v>0</v>
      </c>
      <c r="CF646">
        <v>0</v>
      </c>
      <c r="CG646">
        <v>0</v>
      </c>
      <c r="CM646">
        <v>0</v>
      </c>
      <c r="CN646" t="s">
        <v>3</v>
      </c>
      <c r="CO646">
        <v>0</v>
      </c>
      <c r="CP646">
        <f t="shared" si="550"/>
        <v>5289.82</v>
      </c>
      <c r="CQ646">
        <f t="shared" si="551"/>
        <v>9.94</v>
      </c>
      <c r="CR646">
        <f>(((((ET646*2))*BB646-((EU646*2))*BS646)+AE646*BS646)*AV646)</f>
        <v>0</v>
      </c>
      <c r="CS646">
        <f t="shared" si="552"/>
        <v>0</v>
      </c>
      <c r="CT646">
        <f t="shared" si="553"/>
        <v>5279.88</v>
      </c>
      <c r="CU646">
        <f t="shared" si="554"/>
        <v>0</v>
      </c>
      <c r="CV646">
        <f t="shared" si="555"/>
        <v>7.44</v>
      </c>
      <c r="CW646">
        <f t="shared" si="556"/>
        <v>0</v>
      </c>
      <c r="CX646">
        <f t="shared" si="557"/>
        <v>0</v>
      </c>
      <c r="CY646">
        <f t="shared" si="558"/>
        <v>3695.9160000000002</v>
      </c>
      <c r="CZ646">
        <f t="shared" si="559"/>
        <v>527.98800000000006</v>
      </c>
      <c r="DC646" t="s">
        <v>3</v>
      </c>
      <c r="DD646" t="s">
        <v>117</v>
      </c>
      <c r="DE646" t="s">
        <v>117</v>
      </c>
      <c r="DF646" t="s">
        <v>117</v>
      </c>
      <c r="DG646" t="s">
        <v>117</v>
      </c>
      <c r="DH646" t="s">
        <v>3</v>
      </c>
      <c r="DI646" t="s">
        <v>117</v>
      </c>
      <c r="DJ646" t="s">
        <v>117</v>
      </c>
      <c r="DK646" t="s">
        <v>3</v>
      </c>
      <c r="DL646" t="s">
        <v>3</v>
      </c>
      <c r="DM646" t="s">
        <v>3</v>
      </c>
      <c r="DN646">
        <v>0</v>
      </c>
      <c r="DO646">
        <v>0</v>
      </c>
      <c r="DP646">
        <v>1</v>
      </c>
      <c r="DQ646">
        <v>1</v>
      </c>
      <c r="DU646">
        <v>16987630</v>
      </c>
      <c r="DV646" t="s">
        <v>31</v>
      </c>
      <c r="DW646" t="s">
        <v>31</v>
      </c>
      <c r="DX646">
        <v>1</v>
      </c>
      <c r="DZ646" t="s">
        <v>3</v>
      </c>
      <c r="EA646" t="s">
        <v>3</v>
      </c>
      <c r="EB646" t="s">
        <v>3</v>
      </c>
      <c r="EC646" t="s">
        <v>3</v>
      </c>
      <c r="EE646">
        <v>1441815344</v>
      </c>
      <c r="EF646">
        <v>1</v>
      </c>
      <c r="EG646" t="s">
        <v>19</v>
      </c>
      <c r="EH646">
        <v>0</v>
      </c>
      <c r="EI646" t="s">
        <v>3</v>
      </c>
      <c r="EJ646">
        <v>4</v>
      </c>
      <c r="EK646">
        <v>0</v>
      </c>
      <c r="EL646" t="s">
        <v>20</v>
      </c>
      <c r="EM646" t="s">
        <v>21</v>
      </c>
      <c r="EO646" t="s">
        <v>3</v>
      </c>
      <c r="EQ646">
        <v>0</v>
      </c>
      <c r="ER646">
        <v>2644.91</v>
      </c>
      <c r="ES646">
        <v>4.97</v>
      </c>
      <c r="ET646">
        <v>0</v>
      </c>
      <c r="EU646">
        <v>0</v>
      </c>
      <c r="EV646">
        <v>2639.94</v>
      </c>
      <c r="EW646">
        <v>3.72</v>
      </c>
      <c r="EX646">
        <v>0</v>
      </c>
      <c r="EY646">
        <v>0</v>
      </c>
      <c r="FQ646">
        <v>0</v>
      </c>
      <c r="FR646">
        <f t="shared" si="560"/>
        <v>0</v>
      </c>
      <c r="FS646">
        <v>0</v>
      </c>
      <c r="FX646">
        <v>70</v>
      </c>
      <c r="FY646">
        <v>10</v>
      </c>
      <c r="GA646" t="s">
        <v>3</v>
      </c>
      <c r="GD646">
        <v>0</v>
      </c>
      <c r="GF646">
        <v>-542159701</v>
      </c>
      <c r="GG646">
        <v>2</v>
      </c>
      <c r="GH646">
        <v>1</v>
      </c>
      <c r="GI646">
        <v>-2</v>
      </c>
      <c r="GJ646">
        <v>0</v>
      </c>
      <c r="GK646">
        <f>ROUND(R646*(R12)/100,2)</f>
        <v>0</v>
      </c>
      <c r="GL646">
        <f t="shared" si="561"/>
        <v>0</v>
      </c>
      <c r="GM646">
        <f t="shared" si="562"/>
        <v>9513.73</v>
      </c>
      <c r="GN646">
        <f t="shared" si="563"/>
        <v>0</v>
      </c>
      <c r="GO646">
        <f t="shared" si="564"/>
        <v>0</v>
      </c>
      <c r="GP646">
        <f t="shared" si="565"/>
        <v>9513.73</v>
      </c>
      <c r="GR646">
        <v>0</v>
      </c>
      <c r="GS646">
        <v>3</v>
      </c>
      <c r="GT646">
        <v>0</v>
      </c>
      <c r="GU646" t="s">
        <v>3</v>
      </c>
      <c r="GV646">
        <f t="shared" si="566"/>
        <v>0</v>
      </c>
      <c r="GW646">
        <v>1</v>
      </c>
      <c r="GX646">
        <f t="shared" si="567"/>
        <v>0</v>
      </c>
      <c r="HA646">
        <v>0</v>
      </c>
      <c r="HB646">
        <v>0</v>
      </c>
      <c r="HC646">
        <f t="shared" si="568"/>
        <v>0</v>
      </c>
      <c r="HE646" t="s">
        <v>3</v>
      </c>
      <c r="HF646" t="s">
        <v>3</v>
      </c>
      <c r="HM646" t="s">
        <v>3</v>
      </c>
      <c r="HN646" t="s">
        <v>3</v>
      </c>
      <c r="HO646" t="s">
        <v>3</v>
      </c>
      <c r="HP646" t="s">
        <v>3</v>
      </c>
      <c r="HQ646" t="s">
        <v>3</v>
      </c>
      <c r="IK646">
        <v>0</v>
      </c>
    </row>
    <row r="647" spans="1:245" x14ac:dyDescent="0.2">
      <c r="A647">
        <v>17</v>
      </c>
      <c r="B647">
        <v>1</v>
      </c>
      <c r="D647">
        <f>ROW(EtalonRes!A407)</f>
        <v>407</v>
      </c>
      <c r="E647" t="s">
        <v>533</v>
      </c>
      <c r="F647" t="s">
        <v>507</v>
      </c>
      <c r="G647" t="s">
        <v>508</v>
      </c>
      <c r="H647" t="s">
        <v>31</v>
      </c>
      <c r="I647">
        <v>2</v>
      </c>
      <c r="J647">
        <v>0</v>
      </c>
      <c r="K647">
        <v>2</v>
      </c>
      <c r="O647">
        <f t="shared" si="536"/>
        <v>8592.56</v>
      </c>
      <c r="P647">
        <f t="shared" si="537"/>
        <v>19.88</v>
      </c>
      <c r="Q647">
        <f t="shared" si="538"/>
        <v>0</v>
      </c>
      <c r="R647">
        <f t="shared" si="539"/>
        <v>0</v>
      </c>
      <c r="S647">
        <f t="shared" si="540"/>
        <v>8572.68</v>
      </c>
      <c r="T647">
        <f t="shared" si="541"/>
        <v>0</v>
      </c>
      <c r="U647">
        <f t="shared" si="542"/>
        <v>12.08</v>
      </c>
      <c r="V647">
        <f t="shared" si="543"/>
        <v>0</v>
      </c>
      <c r="W647">
        <f t="shared" si="544"/>
        <v>0</v>
      </c>
      <c r="X647">
        <f t="shared" si="545"/>
        <v>6000.88</v>
      </c>
      <c r="Y647">
        <f t="shared" si="546"/>
        <v>857.27</v>
      </c>
      <c r="AA647">
        <v>1471988752</v>
      </c>
      <c r="AB647">
        <f t="shared" si="547"/>
        <v>4296.28</v>
      </c>
      <c r="AC647">
        <f>ROUND(((ES647*2)),6)</f>
        <v>9.94</v>
      </c>
      <c r="AD647">
        <f>ROUND(((((ET647*2))-((EU647*2)))+AE647),6)</f>
        <v>0</v>
      </c>
      <c r="AE647">
        <f t="shared" si="569"/>
        <v>0</v>
      </c>
      <c r="AF647">
        <f t="shared" si="569"/>
        <v>4286.34</v>
      </c>
      <c r="AG647">
        <f t="shared" si="548"/>
        <v>0</v>
      </c>
      <c r="AH647">
        <f t="shared" si="570"/>
        <v>6.04</v>
      </c>
      <c r="AI647">
        <f t="shared" si="570"/>
        <v>0</v>
      </c>
      <c r="AJ647">
        <f t="shared" si="549"/>
        <v>0</v>
      </c>
      <c r="AK647">
        <v>2148.14</v>
      </c>
      <c r="AL647">
        <v>4.97</v>
      </c>
      <c r="AM647">
        <v>0</v>
      </c>
      <c r="AN647">
        <v>0</v>
      </c>
      <c r="AO647">
        <v>2143.17</v>
      </c>
      <c r="AP647">
        <v>0</v>
      </c>
      <c r="AQ647">
        <v>3.02</v>
      </c>
      <c r="AR647">
        <v>0</v>
      </c>
      <c r="AS647">
        <v>0</v>
      </c>
      <c r="AT647">
        <v>70</v>
      </c>
      <c r="AU647">
        <v>10</v>
      </c>
      <c r="AV647">
        <v>1</v>
      </c>
      <c r="AW647">
        <v>1</v>
      </c>
      <c r="AZ647">
        <v>1</v>
      </c>
      <c r="BA647">
        <v>1</v>
      </c>
      <c r="BB647">
        <v>1</v>
      </c>
      <c r="BC647">
        <v>1</v>
      </c>
      <c r="BD647" t="s">
        <v>3</v>
      </c>
      <c r="BE647" t="s">
        <v>3</v>
      </c>
      <c r="BF647" t="s">
        <v>3</v>
      </c>
      <c r="BG647" t="s">
        <v>3</v>
      </c>
      <c r="BH647">
        <v>0</v>
      </c>
      <c r="BI647">
        <v>4</v>
      </c>
      <c r="BJ647" t="s">
        <v>509</v>
      </c>
      <c r="BM647">
        <v>0</v>
      </c>
      <c r="BN647">
        <v>0</v>
      </c>
      <c r="BO647" t="s">
        <v>3</v>
      </c>
      <c r="BP647">
        <v>0</v>
      </c>
      <c r="BQ647">
        <v>1</v>
      </c>
      <c r="BR647">
        <v>0</v>
      </c>
      <c r="BS647">
        <v>1</v>
      </c>
      <c r="BT647">
        <v>1</v>
      </c>
      <c r="BU647">
        <v>1</v>
      </c>
      <c r="BV647">
        <v>1</v>
      </c>
      <c r="BW647">
        <v>1</v>
      </c>
      <c r="BX647">
        <v>1</v>
      </c>
      <c r="BY647" t="s">
        <v>3</v>
      </c>
      <c r="BZ647">
        <v>70</v>
      </c>
      <c r="CA647">
        <v>10</v>
      </c>
      <c r="CB647" t="s">
        <v>3</v>
      </c>
      <c r="CE647">
        <v>0</v>
      </c>
      <c r="CF647">
        <v>0</v>
      </c>
      <c r="CG647">
        <v>0</v>
      </c>
      <c r="CM647">
        <v>0</v>
      </c>
      <c r="CN647" t="s">
        <v>3</v>
      </c>
      <c r="CO647">
        <v>0</v>
      </c>
      <c r="CP647">
        <f t="shared" si="550"/>
        <v>8592.56</v>
      </c>
      <c r="CQ647">
        <f t="shared" si="551"/>
        <v>9.94</v>
      </c>
      <c r="CR647">
        <f>(((((ET647*2))*BB647-((EU647*2))*BS647)+AE647*BS647)*AV647)</f>
        <v>0</v>
      </c>
      <c r="CS647">
        <f t="shared" si="552"/>
        <v>0</v>
      </c>
      <c r="CT647">
        <f t="shared" si="553"/>
        <v>4286.34</v>
      </c>
      <c r="CU647">
        <f t="shared" si="554"/>
        <v>0</v>
      </c>
      <c r="CV647">
        <f t="shared" si="555"/>
        <v>6.04</v>
      </c>
      <c r="CW647">
        <f t="shared" si="556"/>
        <v>0</v>
      </c>
      <c r="CX647">
        <f t="shared" si="557"/>
        <v>0</v>
      </c>
      <c r="CY647">
        <f t="shared" si="558"/>
        <v>6000.8760000000002</v>
      </c>
      <c r="CZ647">
        <f t="shared" si="559"/>
        <v>857.26800000000003</v>
      </c>
      <c r="DC647" t="s">
        <v>3</v>
      </c>
      <c r="DD647" t="s">
        <v>117</v>
      </c>
      <c r="DE647" t="s">
        <v>117</v>
      </c>
      <c r="DF647" t="s">
        <v>117</v>
      </c>
      <c r="DG647" t="s">
        <v>117</v>
      </c>
      <c r="DH647" t="s">
        <v>3</v>
      </c>
      <c r="DI647" t="s">
        <v>117</v>
      </c>
      <c r="DJ647" t="s">
        <v>117</v>
      </c>
      <c r="DK647" t="s">
        <v>3</v>
      </c>
      <c r="DL647" t="s">
        <v>3</v>
      </c>
      <c r="DM647" t="s">
        <v>3</v>
      </c>
      <c r="DN647">
        <v>0</v>
      </c>
      <c r="DO647">
        <v>0</v>
      </c>
      <c r="DP647">
        <v>1</v>
      </c>
      <c r="DQ647">
        <v>1</v>
      </c>
      <c r="DU647">
        <v>16987630</v>
      </c>
      <c r="DV647" t="s">
        <v>31</v>
      </c>
      <c r="DW647" t="s">
        <v>31</v>
      </c>
      <c r="DX647">
        <v>1</v>
      </c>
      <c r="DZ647" t="s">
        <v>3</v>
      </c>
      <c r="EA647" t="s">
        <v>3</v>
      </c>
      <c r="EB647" t="s">
        <v>3</v>
      </c>
      <c r="EC647" t="s">
        <v>3</v>
      </c>
      <c r="EE647">
        <v>1441815344</v>
      </c>
      <c r="EF647">
        <v>1</v>
      </c>
      <c r="EG647" t="s">
        <v>19</v>
      </c>
      <c r="EH647">
        <v>0</v>
      </c>
      <c r="EI647" t="s">
        <v>3</v>
      </c>
      <c r="EJ647">
        <v>4</v>
      </c>
      <c r="EK647">
        <v>0</v>
      </c>
      <c r="EL647" t="s">
        <v>20</v>
      </c>
      <c r="EM647" t="s">
        <v>21</v>
      </c>
      <c r="EO647" t="s">
        <v>3</v>
      </c>
      <c r="EQ647">
        <v>0</v>
      </c>
      <c r="ER647">
        <v>2148.14</v>
      </c>
      <c r="ES647">
        <v>4.97</v>
      </c>
      <c r="ET647">
        <v>0</v>
      </c>
      <c r="EU647">
        <v>0</v>
      </c>
      <c r="EV647">
        <v>2143.17</v>
      </c>
      <c r="EW647">
        <v>3.02</v>
      </c>
      <c r="EX647">
        <v>0</v>
      </c>
      <c r="EY647">
        <v>0</v>
      </c>
      <c r="FQ647">
        <v>0</v>
      </c>
      <c r="FR647">
        <f t="shared" si="560"/>
        <v>0</v>
      </c>
      <c r="FS647">
        <v>0</v>
      </c>
      <c r="FX647">
        <v>70</v>
      </c>
      <c r="FY647">
        <v>10</v>
      </c>
      <c r="GA647" t="s">
        <v>3</v>
      </c>
      <c r="GD647">
        <v>0</v>
      </c>
      <c r="GF647">
        <v>-1564910126</v>
      </c>
      <c r="GG647">
        <v>2</v>
      </c>
      <c r="GH647">
        <v>1</v>
      </c>
      <c r="GI647">
        <v>-2</v>
      </c>
      <c r="GJ647">
        <v>0</v>
      </c>
      <c r="GK647">
        <f>ROUND(R647*(R12)/100,2)</f>
        <v>0</v>
      </c>
      <c r="GL647">
        <f t="shared" si="561"/>
        <v>0</v>
      </c>
      <c r="GM647">
        <f t="shared" si="562"/>
        <v>15450.71</v>
      </c>
      <c r="GN647">
        <f t="shared" si="563"/>
        <v>0</v>
      </c>
      <c r="GO647">
        <f t="shared" si="564"/>
        <v>0</v>
      </c>
      <c r="GP647">
        <f t="shared" si="565"/>
        <v>15450.71</v>
      </c>
      <c r="GR647">
        <v>0</v>
      </c>
      <c r="GS647">
        <v>3</v>
      </c>
      <c r="GT647">
        <v>0</v>
      </c>
      <c r="GU647" t="s">
        <v>3</v>
      </c>
      <c r="GV647">
        <f t="shared" si="566"/>
        <v>0</v>
      </c>
      <c r="GW647">
        <v>1</v>
      </c>
      <c r="GX647">
        <f t="shared" si="567"/>
        <v>0</v>
      </c>
      <c r="HA647">
        <v>0</v>
      </c>
      <c r="HB647">
        <v>0</v>
      </c>
      <c r="HC647">
        <f t="shared" si="568"/>
        <v>0</v>
      </c>
      <c r="HE647" t="s">
        <v>3</v>
      </c>
      <c r="HF647" t="s">
        <v>3</v>
      </c>
      <c r="HM647" t="s">
        <v>3</v>
      </c>
      <c r="HN647" t="s">
        <v>3</v>
      </c>
      <c r="HO647" t="s">
        <v>3</v>
      </c>
      <c r="HP647" t="s">
        <v>3</v>
      </c>
      <c r="HQ647" t="s">
        <v>3</v>
      </c>
      <c r="IK647">
        <v>0</v>
      </c>
    </row>
    <row r="648" spans="1:245" x14ac:dyDescent="0.2">
      <c r="A648">
        <v>17</v>
      </c>
      <c r="B648">
        <v>1</v>
      </c>
      <c r="D648">
        <f>ROW(EtalonRes!A410)</f>
        <v>410</v>
      </c>
      <c r="E648" t="s">
        <v>534</v>
      </c>
      <c r="F648" t="s">
        <v>511</v>
      </c>
      <c r="G648" t="s">
        <v>512</v>
      </c>
      <c r="H648" t="s">
        <v>31</v>
      </c>
      <c r="I648">
        <v>4</v>
      </c>
      <c r="J648">
        <v>0</v>
      </c>
      <c r="K648">
        <v>4</v>
      </c>
      <c r="O648">
        <f t="shared" si="536"/>
        <v>16390.32</v>
      </c>
      <c r="P648">
        <f t="shared" si="537"/>
        <v>39.76</v>
      </c>
      <c r="Q648">
        <f t="shared" si="538"/>
        <v>0</v>
      </c>
      <c r="R648">
        <f t="shared" si="539"/>
        <v>0</v>
      </c>
      <c r="S648">
        <f t="shared" si="540"/>
        <v>16350.56</v>
      </c>
      <c r="T648">
        <f t="shared" si="541"/>
        <v>0</v>
      </c>
      <c r="U648">
        <f t="shared" si="542"/>
        <v>23.04</v>
      </c>
      <c r="V648">
        <f t="shared" si="543"/>
        <v>0</v>
      </c>
      <c r="W648">
        <f t="shared" si="544"/>
        <v>0</v>
      </c>
      <c r="X648">
        <f t="shared" si="545"/>
        <v>11445.39</v>
      </c>
      <c r="Y648">
        <f t="shared" si="546"/>
        <v>1635.06</v>
      </c>
      <c r="AA648">
        <v>1471988752</v>
      </c>
      <c r="AB648">
        <f t="shared" si="547"/>
        <v>4097.58</v>
      </c>
      <c r="AC648">
        <f>ROUND(((ES648*2)),6)</f>
        <v>9.94</v>
      </c>
      <c r="AD648">
        <f>ROUND(((((ET648*2))-((EU648*2)))+AE648),6)</f>
        <v>0</v>
      </c>
      <c r="AE648">
        <f t="shared" si="569"/>
        <v>0</v>
      </c>
      <c r="AF648">
        <f t="shared" si="569"/>
        <v>4087.64</v>
      </c>
      <c r="AG648">
        <f t="shared" si="548"/>
        <v>0</v>
      </c>
      <c r="AH648">
        <f t="shared" si="570"/>
        <v>5.76</v>
      </c>
      <c r="AI648">
        <f t="shared" si="570"/>
        <v>0</v>
      </c>
      <c r="AJ648">
        <f t="shared" si="549"/>
        <v>0</v>
      </c>
      <c r="AK648">
        <v>2048.79</v>
      </c>
      <c r="AL648">
        <v>4.97</v>
      </c>
      <c r="AM648">
        <v>0</v>
      </c>
      <c r="AN648">
        <v>0</v>
      </c>
      <c r="AO648">
        <v>2043.82</v>
      </c>
      <c r="AP648">
        <v>0</v>
      </c>
      <c r="AQ648">
        <v>2.88</v>
      </c>
      <c r="AR648">
        <v>0</v>
      </c>
      <c r="AS648">
        <v>0</v>
      </c>
      <c r="AT648">
        <v>70</v>
      </c>
      <c r="AU648">
        <v>10</v>
      </c>
      <c r="AV648">
        <v>1</v>
      </c>
      <c r="AW648">
        <v>1</v>
      </c>
      <c r="AZ648">
        <v>1</v>
      </c>
      <c r="BA648">
        <v>1</v>
      </c>
      <c r="BB648">
        <v>1</v>
      </c>
      <c r="BC648">
        <v>1</v>
      </c>
      <c r="BD648" t="s">
        <v>3</v>
      </c>
      <c r="BE648" t="s">
        <v>3</v>
      </c>
      <c r="BF648" t="s">
        <v>3</v>
      </c>
      <c r="BG648" t="s">
        <v>3</v>
      </c>
      <c r="BH648">
        <v>0</v>
      </c>
      <c r="BI648">
        <v>4</v>
      </c>
      <c r="BJ648" t="s">
        <v>513</v>
      </c>
      <c r="BM648">
        <v>0</v>
      </c>
      <c r="BN648">
        <v>0</v>
      </c>
      <c r="BO648" t="s">
        <v>3</v>
      </c>
      <c r="BP648">
        <v>0</v>
      </c>
      <c r="BQ648">
        <v>1</v>
      </c>
      <c r="BR648">
        <v>0</v>
      </c>
      <c r="BS648">
        <v>1</v>
      </c>
      <c r="BT648">
        <v>1</v>
      </c>
      <c r="BU648">
        <v>1</v>
      </c>
      <c r="BV648">
        <v>1</v>
      </c>
      <c r="BW648">
        <v>1</v>
      </c>
      <c r="BX648">
        <v>1</v>
      </c>
      <c r="BY648" t="s">
        <v>3</v>
      </c>
      <c r="BZ648">
        <v>70</v>
      </c>
      <c r="CA648">
        <v>10</v>
      </c>
      <c r="CB648" t="s">
        <v>3</v>
      </c>
      <c r="CE648">
        <v>0</v>
      </c>
      <c r="CF648">
        <v>0</v>
      </c>
      <c r="CG648">
        <v>0</v>
      </c>
      <c r="CM648">
        <v>0</v>
      </c>
      <c r="CN648" t="s">
        <v>3</v>
      </c>
      <c r="CO648">
        <v>0</v>
      </c>
      <c r="CP648">
        <f t="shared" si="550"/>
        <v>16390.32</v>
      </c>
      <c r="CQ648">
        <f t="shared" si="551"/>
        <v>9.94</v>
      </c>
      <c r="CR648">
        <f>(((((ET648*2))*BB648-((EU648*2))*BS648)+AE648*BS648)*AV648)</f>
        <v>0</v>
      </c>
      <c r="CS648">
        <f t="shared" si="552"/>
        <v>0</v>
      </c>
      <c r="CT648">
        <f t="shared" si="553"/>
        <v>4087.64</v>
      </c>
      <c r="CU648">
        <f t="shared" si="554"/>
        <v>0</v>
      </c>
      <c r="CV648">
        <f t="shared" si="555"/>
        <v>5.76</v>
      </c>
      <c r="CW648">
        <f t="shared" si="556"/>
        <v>0</v>
      </c>
      <c r="CX648">
        <f t="shared" si="557"/>
        <v>0</v>
      </c>
      <c r="CY648">
        <f t="shared" si="558"/>
        <v>11445.392</v>
      </c>
      <c r="CZ648">
        <f t="shared" si="559"/>
        <v>1635.056</v>
      </c>
      <c r="DC648" t="s">
        <v>3</v>
      </c>
      <c r="DD648" t="s">
        <v>117</v>
      </c>
      <c r="DE648" t="s">
        <v>117</v>
      </c>
      <c r="DF648" t="s">
        <v>117</v>
      </c>
      <c r="DG648" t="s">
        <v>117</v>
      </c>
      <c r="DH648" t="s">
        <v>3</v>
      </c>
      <c r="DI648" t="s">
        <v>117</v>
      </c>
      <c r="DJ648" t="s">
        <v>117</v>
      </c>
      <c r="DK648" t="s">
        <v>3</v>
      </c>
      <c r="DL648" t="s">
        <v>3</v>
      </c>
      <c r="DM648" t="s">
        <v>3</v>
      </c>
      <c r="DN648">
        <v>0</v>
      </c>
      <c r="DO648">
        <v>0</v>
      </c>
      <c r="DP648">
        <v>1</v>
      </c>
      <c r="DQ648">
        <v>1</v>
      </c>
      <c r="DU648">
        <v>16987630</v>
      </c>
      <c r="DV648" t="s">
        <v>31</v>
      </c>
      <c r="DW648" t="s">
        <v>31</v>
      </c>
      <c r="DX648">
        <v>1</v>
      </c>
      <c r="DZ648" t="s">
        <v>3</v>
      </c>
      <c r="EA648" t="s">
        <v>3</v>
      </c>
      <c r="EB648" t="s">
        <v>3</v>
      </c>
      <c r="EC648" t="s">
        <v>3</v>
      </c>
      <c r="EE648">
        <v>1441815344</v>
      </c>
      <c r="EF648">
        <v>1</v>
      </c>
      <c r="EG648" t="s">
        <v>19</v>
      </c>
      <c r="EH648">
        <v>0</v>
      </c>
      <c r="EI648" t="s">
        <v>3</v>
      </c>
      <c r="EJ648">
        <v>4</v>
      </c>
      <c r="EK648">
        <v>0</v>
      </c>
      <c r="EL648" t="s">
        <v>20</v>
      </c>
      <c r="EM648" t="s">
        <v>21</v>
      </c>
      <c r="EO648" t="s">
        <v>3</v>
      </c>
      <c r="EQ648">
        <v>0</v>
      </c>
      <c r="ER648">
        <v>2048.79</v>
      </c>
      <c r="ES648">
        <v>4.97</v>
      </c>
      <c r="ET648">
        <v>0</v>
      </c>
      <c r="EU648">
        <v>0</v>
      </c>
      <c r="EV648">
        <v>2043.82</v>
      </c>
      <c r="EW648">
        <v>2.88</v>
      </c>
      <c r="EX648">
        <v>0</v>
      </c>
      <c r="EY648">
        <v>0</v>
      </c>
      <c r="FQ648">
        <v>0</v>
      </c>
      <c r="FR648">
        <f t="shared" si="560"/>
        <v>0</v>
      </c>
      <c r="FS648">
        <v>0</v>
      </c>
      <c r="FX648">
        <v>70</v>
      </c>
      <c r="FY648">
        <v>10</v>
      </c>
      <c r="GA648" t="s">
        <v>3</v>
      </c>
      <c r="GD648">
        <v>0</v>
      </c>
      <c r="GF648">
        <v>1776814538</v>
      </c>
      <c r="GG648">
        <v>2</v>
      </c>
      <c r="GH648">
        <v>1</v>
      </c>
      <c r="GI648">
        <v>-2</v>
      </c>
      <c r="GJ648">
        <v>0</v>
      </c>
      <c r="GK648">
        <f>ROUND(R648*(R12)/100,2)</f>
        <v>0</v>
      </c>
      <c r="GL648">
        <f t="shared" si="561"/>
        <v>0</v>
      </c>
      <c r="GM648">
        <f t="shared" si="562"/>
        <v>29470.77</v>
      </c>
      <c r="GN648">
        <f t="shared" si="563"/>
        <v>0</v>
      </c>
      <c r="GO648">
        <f t="shared" si="564"/>
        <v>0</v>
      </c>
      <c r="GP648">
        <f t="shared" si="565"/>
        <v>29470.77</v>
      </c>
      <c r="GR648">
        <v>0</v>
      </c>
      <c r="GS648">
        <v>3</v>
      </c>
      <c r="GT648">
        <v>0</v>
      </c>
      <c r="GU648" t="s">
        <v>3</v>
      </c>
      <c r="GV648">
        <f t="shared" si="566"/>
        <v>0</v>
      </c>
      <c r="GW648">
        <v>1</v>
      </c>
      <c r="GX648">
        <f t="shared" si="567"/>
        <v>0</v>
      </c>
      <c r="HA648">
        <v>0</v>
      </c>
      <c r="HB648">
        <v>0</v>
      </c>
      <c r="HC648">
        <f t="shared" si="568"/>
        <v>0</v>
      </c>
      <c r="HE648" t="s">
        <v>3</v>
      </c>
      <c r="HF648" t="s">
        <v>3</v>
      </c>
      <c r="HM648" t="s">
        <v>3</v>
      </c>
      <c r="HN648" t="s">
        <v>3</v>
      </c>
      <c r="HO648" t="s">
        <v>3</v>
      </c>
      <c r="HP648" t="s">
        <v>3</v>
      </c>
      <c r="HQ648" t="s">
        <v>3</v>
      </c>
      <c r="IK648">
        <v>0</v>
      </c>
    </row>
    <row r="649" spans="1:245" x14ac:dyDescent="0.2">
      <c r="A649">
        <v>17</v>
      </c>
      <c r="B649">
        <v>1</v>
      </c>
      <c r="D649">
        <f>ROW(EtalonRes!A414)</f>
        <v>414</v>
      </c>
      <c r="E649" t="s">
        <v>535</v>
      </c>
      <c r="F649" t="s">
        <v>536</v>
      </c>
      <c r="G649" t="s">
        <v>537</v>
      </c>
      <c r="H649" t="s">
        <v>31</v>
      </c>
      <c r="I649">
        <v>3</v>
      </c>
      <c r="J649">
        <v>0</v>
      </c>
      <c r="K649">
        <v>3</v>
      </c>
      <c r="O649">
        <f t="shared" si="536"/>
        <v>2869.53</v>
      </c>
      <c r="P649">
        <f t="shared" si="537"/>
        <v>2.82</v>
      </c>
      <c r="Q649">
        <f t="shared" si="538"/>
        <v>273.63</v>
      </c>
      <c r="R649">
        <f t="shared" si="539"/>
        <v>173.5</v>
      </c>
      <c r="S649">
        <f t="shared" si="540"/>
        <v>2593.08</v>
      </c>
      <c r="T649">
        <f t="shared" si="541"/>
        <v>0</v>
      </c>
      <c r="U649">
        <f t="shared" si="542"/>
        <v>3.6539999999999999</v>
      </c>
      <c r="V649">
        <f t="shared" si="543"/>
        <v>0</v>
      </c>
      <c r="W649">
        <f t="shared" si="544"/>
        <v>0</v>
      </c>
      <c r="X649">
        <f t="shared" si="545"/>
        <v>1815.16</v>
      </c>
      <c r="Y649">
        <f t="shared" si="546"/>
        <v>259.31</v>
      </c>
      <c r="AA649">
        <v>1471988752</v>
      </c>
      <c r="AB649">
        <f t="shared" si="547"/>
        <v>956.51</v>
      </c>
      <c r="AC649">
        <f>ROUND((((ES649*2)*1)),6)</f>
        <v>0.94</v>
      </c>
      <c r="AD649">
        <f>ROUND(((((ET649*2*0.7))-((EU649*2*0.7)))+AE649),6)</f>
        <v>91.21</v>
      </c>
      <c r="AE649">
        <f>ROUND(((EU649*2*0.7)),6)</f>
        <v>57.834000000000003</v>
      </c>
      <c r="AF649">
        <f>ROUND((((EV649*2)*0.7)),6)</f>
        <v>864.36</v>
      </c>
      <c r="AG649">
        <f t="shared" si="548"/>
        <v>0</v>
      </c>
      <c r="AH649">
        <f>(((EW649*2)*0.7))</f>
        <v>1.218</v>
      </c>
      <c r="AI649">
        <f>((EX649*2*0.7))</f>
        <v>0</v>
      </c>
      <c r="AJ649">
        <f t="shared" si="549"/>
        <v>0</v>
      </c>
      <c r="AK649">
        <v>683.02</v>
      </c>
      <c r="AL649">
        <v>0.47</v>
      </c>
      <c r="AM649">
        <v>65.150000000000006</v>
      </c>
      <c r="AN649">
        <v>41.31</v>
      </c>
      <c r="AO649">
        <v>617.4</v>
      </c>
      <c r="AP649">
        <v>0</v>
      </c>
      <c r="AQ649">
        <v>0.87</v>
      </c>
      <c r="AR649">
        <v>0</v>
      </c>
      <c r="AS649">
        <v>0</v>
      </c>
      <c r="AT649">
        <v>70</v>
      </c>
      <c r="AU649">
        <v>10</v>
      </c>
      <c r="AV649">
        <v>1</v>
      </c>
      <c r="AW649">
        <v>1</v>
      </c>
      <c r="AZ649">
        <v>1</v>
      </c>
      <c r="BA649">
        <v>1</v>
      </c>
      <c r="BB649">
        <v>1</v>
      </c>
      <c r="BC649">
        <v>1</v>
      </c>
      <c r="BD649" t="s">
        <v>3</v>
      </c>
      <c r="BE649" t="s">
        <v>3</v>
      </c>
      <c r="BF649" t="s">
        <v>3</v>
      </c>
      <c r="BG649" t="s">
        <v>3</v>
      </c>
      <c r="BH649">
        <v>0</v>
      </c>
      <c r="BI649">
        <v>4</v>
      </c>
      <c r="BJ649" t="s">
        <v>538</v>
      </c>
      <c r="BM649">
        <v>0</v>
      </c>
      <c r="BN649">
        <v>0</v>
      </c>
      <c r="BO649" t="s">
        <v>3</v>
      </c>
      <c r="BP649">
        <v>0</v>
      </c>
      <c r="BQ649">
        <v>1</v>
      </c>
      <c r="BR649">
        <v>0</v>
      </c>
      <c r="BS649">
        <v>1</v>
      </c>
      <c r="BT649">
        <v>1</v>
      </c>
      <c r="BU649">
        <v>1</v>
      </c>
      <c r="BV649">
        <v>1</v>
      </c>
      <c r="BW649">
        <v>1</v>
      </c>
      <c r="BX649">
        <v>1</v>
      </c>
      <c r="BY649" t="s">
        <v>3</v>
      </c>
      <c r="BZ649">
        <v>70</v>
      </c>
      <c r="CA649">
        <v>10</v>
      </c>
      <c r="CB649" t="s">
        <v>3</v>
      </c>
      <c r="CE649">
        <v>0</v>
      </c>
      <c r="CF649">
        <v>0</v>
      </c>
      <c r="CG649">
        <v>0</v>
      </c>
      <c r="CM649">
        <v>0</v>
      </c>
      <c r="CN649" t="s">
        <v>700</v>
      </c>
      <c r="CO649">
        <v>0</v>
      </c>
      <c r="CP649">
        <f t="shared" si="550"/>
        <v>2869.5299999999997</v>
      </c>
      <c r="CQ649">
        <f t="shared" si="551"/>
        <v>0.94</v>
      </c>
      <c r="CR649">
        <f>(((((ET649*2*0.7))*BB649-((EU649*2*0.7))*BS649)+AE649*BS649)*AV649)</f>
        <v>91.210000000000008</v>
      </c>
      <c r="CS649">
        <f t="shared" si="552"/>
        <v>57.834000000000003</v>
      </c>
      <c r="CT649">
        <f t="shared" si="553"/>
        <v>864.36</v>
      </c>
      <c r="CU649">
        <f t="shared" si="554"/>
        <v>0</v>
      </c>
      <c r="CV649">
        <f t="shared" si="555"/>
        <v>1.218</v>
      </c>
      <c r="CW649">
        <f t="shared" si="556"/>
        <v>0</v>
      </c>
      <c r="CX649">
        <f t="shared" si="557"/>
        <v>0</v>
      </c>
      <c r="CY649">
        <f t="shared" si="558"/>
        <v>1815.1559999999999</v>
      </c>
      <c r="CZ649">
        <f t="shared" si="559"/>
        <v>259.30799999999999</v>
      </c>
      <c r="DC649" t="s">
        <v>3</v>
      </c>
      <c r="DD649" t="s">
        <v>539</v>
      </c>
      <c r="DE649" t="s">
        <v>540</v>
      </c>
      <c r="DF649" t="s">
        <v>540</v>
      </c>
      <c r="DG649" t="s">
        <v>541</v>
      </c>
      <c r="DH649" t="s">
        <v>3</v>
      </c>
      <c r="DI649" t="s">
        <v>541</v>
      </c>
      <c r="DJ649" t="s">
        <v>540</v>
      </c>
      <c r="DK649" t="s">
        <v>3</v>
      </c>
      <c r="DL649" t="s">
        <v>3</v>
      </c>
      <c r="DM649" t="s">
        <v>3</v>
      </c>
      <c r="DN649">
        <v>0</v>
      </c>
      <c r="DO649">
        <v>0</v>
      </c>
      <c r="DP649">
        <v>1</v>
      </c>
      <c r="DQ649">
        <v>1</v>
      </c>
      <c r="DU649">
        <v>16987630</v>
      </c>
      <c r="DV649" t="s">
        <v>31</v>
      </c>
      <c r="DW649" t="s">
        <v>31</v>
      </c>
      <c r="DX649">
        <v>1</v>
      </c>
      <c r="DZ649" t="s">
        <v>3</v>
      </c>
      <c r="EA649" t="s">
        <v>3</v>
      </c>
      <c r="EB649" t="s">
        <v>3</v>
      </c>
      <c r="EC649" t="s">
        <v>3</v>
      </c>
      <c r="EE649">
        <v>1441815344</v>
      </c>
      <c r="EF649">
        <v>1</v>
      </c>
      <c r="EG649" t="s">
        <v>19</v>
      </c>
      <c r="EH649">
        <v>0</v>
      </c>
      <c r="EI649" t="s">
        <v>3</v>
      </c>
      <c r="EJ649">
        <v>4</v>
      </c>
      <c r="EK649">
        <v>0</v>
      </c>
      <c r="EL649" t="s">
        <v>20</v>
      </c>
      <c r="EM649" t="s">
        <v>21</v>
      </c>
      <c r="EO649" t="s">
        <v>405</v>
      </c>
      <c r="EQ649">
        <v>768</v>
      </c>
      <c r="ER649">
        <v>683.02</v>
      </c>
      <c r="ES649">
        <v>0.47</v>
      </c>
      <c r="ET649">
        <v>65.150000000000006</v>
      </c>
      <c r="EU649">
        <v>41.31</v>
      </c>
      <c r="EV649">
        <v>617.4</v>
      </c>
      <c r="EW649">
        <v>0.87</v>
      </c>
      <c r="EX649">
        <v>0</v>
      </c>
      <c r="EY649">
        <v>0</v>
      </c>
      <c r="FQ649">
        <v>0</v>
      </c>
      <c r="FR649">
        <f t="shared" si="560"/>
        <v>0</v>
      </c>
      <c r="FS649">
        <v>0</v>
      </c>
      <c r="FX649">
        <v>70</v>
      </c>
      <c r="FY649">
        <v>10</v>
      </c>
      <c r="GA649" t="s">
        <v>3</v>
      </c>
      <c r="GD649">
        <v>0</v>
      </c>
      <c r="GF649">
        <v>-739357925</v>
      </c>
      <c r="GG649">
        <v>2</v>
      </c>
      <c r="GH649">
        <v>1</v>
      </c>
      <c r="GI649">
        <v>-2</v>
      </c>
      <c r="GJ649">
        <v>0</v>
      </c>
      <c r="GK649">
        <f>ROUND(R649*(R12)/100,2)</f>
        <v>187.38</v>
      </c>
      <c r="GL649">
        <f t="shared" si="561"/>
        <v>0</v>
      </c>
      <c r="GM649">
        <f t="shared" si="562"/>
        <v>5131.38</v>
      </c>
      <c r="GN649">
        <f t="shared" si="563"/>
        <v>0</v>
      </c>
      <c r="GO649">
        <f t="shared" si="564"/>
        <v>0</v>
      </c>
      <c r="GP649">
        <f t="shared" si="565"/>
        <v>5131.38</v>
      </c>
      <c r="GR649">
        <v>0</v>
      </c>
      <c r="GS649">
        <v>3</v>
      </c>
      <c r="GT649">
        <v>0</v>
      </c>
      <c r="GU649" t="s">
        <v>3</v>
      </c>
      <c r="GV649">
        <f t="shared" si="566"/>
        <v>0</v>
      </c>
      <c r="GW649">
        <v>1</v>
      </c>
      <c r="GX649">
        <f t="shared" si="567"/>
        <v>0</v>
      </c>
      <c r="HA649">
        <v>0</v>
      </c>
      <c r="HB649">
        <v>0</v>
      </c>
      <c r="HC649">
        <f t="shared" si="568"/>
        <v>0</v>
      </c>
      <c r="HE649" t="s">
        <v>3</v>
      </c>
      <c r="HF649" t="s">
        <v>3</v>
      </c>
      <c r="HM649" t="s">
        <v>3</v>
      </c>
      <c r="HN649" t="s">
        <v>3</v>
      </c>
      <c r="HO649" t="s">
        <v>3</v>
      </c>
      <c r="HP649" t="s">
        <v>3</v>
      </c>
      <c r="HQ649" t="s">
        <v>3</v>
      </c>
      <c r="IK649">
        <v>0</v>
      </c>
    </row>
    <row r="650" spans="1:245" x14ac:dyDescent="0.2">
      <c r="A650">
        <v>17</v>
      </c>
      <c r="B650">
        <v>1</v>
      </c>
      <c r="D650">
        <f>ROW(EtalonRes!A418)</f>
        <v>418</v>
      </c>
      <c r="E650" t="s">
        <v>3</v>
      </c>
      <c r="F650" t="s">
        <v>542</v>
      </c>
      <c r="G650" t="s">
        <v>543</v>
      </c>
      <c r="H650" t="s">
        <v>31</v>
      </c>
      <c r="I650">
        <v>3</v>
      </c>
      <c r="J650">
        <v>0</v>
      </c>
      <c r="K650">
        <v>3</v>
      </c>
      <c r="O650">
        <f t="shared" si="536"/>
        <v>482.51</v>
      </c>
      <c r="P650">
        <f t="shared" si="537"/>
        <v>8.6999999999999993</v>
      </c>
      <c r="Q650">
        <f t="shared" si="538"/>
        <v>58.64</v>
      </c>
      <c r="R650">
        <f t="shared" si="539"/>
        <v>37.17</v>
      </c>
      <c r="S650">
        <f t="shared" si="540"/>
        <v>415.17</v>
      </c>
      <c r="T650">
        <f t="shared" si="541"/>
        <v>0</v>
      </c>
      <c r="U650">
        <f t="shared" si="542"/>
        <v>0.58499999999999996</v>
      </c>
      <c r="V650">
        <f t="shared" si="543"/>
        <v>0</v>
      </c>
      <c r="W650">
        <f t="shared" si="544"/>
        <v>0</v>
      </c>
      <c r="X650">
        <f t="shared" si="545"/>
        <v>290.62</v>
      </c>
      <c r="Y650">
        <f t="shared" si="546"/>
        <v>41.52</v>
      </c>
      <c r="AA650">
        <v>-1</v>
      </c>
      <c r="AB650">
        <f t="shared" si="547"/>
        <v>160.83500000000001</v>
      </c>
      <c r="AC650">
        <f>ROUND((((ES650*2)*1)),6)</f>
        <v>2.9</v>
      </c>
      <c r="AD650">
        <f>ROUND((((((ET650*2)*0.75))-(((EU650*2)*0.75)))+AE650),6)</f>
        <v>19.545000000000002</v>
      </c>
      <c r="AE650">
        <f>ROUND((((EU650*2)*0.75)),6)</f>
        <v>12.39</v>
      </c>
      <c r="AF650">
        <f>ROUND((((EV650*2)*0.75)),6)</f>
        <v>138.38999999999999</v>
      </c>
      <c r="AG650">
        <f t="shared" si="548"/>
        <v>0</v>
      </c>
      <c r="AH650">
        <f>(((EW650*2)*0.75))</f>
        <v>0.19500000000000001</v>
      </c>
      <c r="AI650">
        <f>(((EX650*2)*0.75))</f>
        <v>0</v>
      </c>
      <c r="AJ650">
        <f t="shared" si="549"/>
        <v>0</v>
      </c>
      <c r="AK650">
        <v>106.74</v>
      </c>
      <c r="AL650">
        <v>1.45</v>
      </c>
      <c r="AM650">
        <v>13.03</v>
      </c>
      <c r="AN650">
        <v>8.26</v>
      </c>
      <c r="AO650">
        <v>92.26</v>
      </c>
      <c r="AP650">
        <v>0</v>
      </c>
      <c r="AQ650">
        <v>0.13</v>
      </c>
      <c r="AR650">
        <v>0</v>
      </c>
      <c r="AS650">
        <v>0</v>
      </c>
      <c r="AT650">
        <v>70</v>
      </c>
      <c r="AU650">
        <v>10</v>
      </c>
      <c r="AV650">
        <v>1</v>
      </c>
      <c r="AW650">
        <v>1</v>
      </c>
      <c r="AZ650">
        <v>1</v>
      </c>
      <c r="BA650">
        <v>1</v>
      </c>
      <c r="BB650">
        <v>1</v>
      </c>
      <c r="BC650">
        <v>1</v>
      </c>
      <c r="BD650" t="s">
        <v>3</v>
      </c>
      <c r="BE650" t="s">
        <v>3</v>
      </c>
      <c r="BF650" t="s">
        <v>3</v>
      </c>
      <c r="BG650" t="s">
        <v>3</v>
      </c>
      <c r="BH650">
        <v>0</v>
      </c>
      <c r="BI650">
        <v>4</v>
      </c>
      <c r="BJ650" t="s">
        <v>544</v>
      </c>
      <c r="BM650">
        <v>0</v>
      </c>
      <c r="BN650">
        <v>0</v>
      </c>
      <c r="BO650" t="s">
        <v>3</v>
      </c>
      <c r="BP650">
        <v>0</v>
      </c>
      <c r="BQ650">
        <v>1</v>
      </c>
      <c r="BR650">
        <v>0</v>
      </c>
      <c r="BS650">
        <v>1</v>
      </c>
      <c r="BT650">
        <v>1</v>
      </c>
      <c r="BU650">
        <v>1</v>
      </c>
      <c r="BV650">
        <v>1</v>
      </c>
      <c r="BW650">
        <v>1</v>
      </c>
      <c r="BX650">
        <v>1</v>
      </c>
      <c r="BY650" t="s">
        <v>3</v>
      </c>
      <c r="BZ650">
        <v>70</v>
      </c>
      <c r="CA650">
        <v>10</v>
      </c>
      <c r="CB650" t="s">
        <v>3</v>
      </c>
      <c r="CE650">
        <v>0</v>
      </c>
      <c r="CF650">
        <v>0</v>
      </c>
      <c r="CG650">
        <v>0</v>
      </c>
      <c r="CM650">
        <v>0</v>
      </c>
      <c r="CN650" t="s">
        <v>701</v>
      </c>
      <c r="CO650">
        <v>0</v>
      </c>
      <c r="CP650">
        <f t="shared" si="550"/>
        <v>482.51</v>
      </c>
      <c r="CQ650">
        <f t="shared" si="551"/>
        <v>2.9</v>
      </c>
      <c r="CR650">
        <f>((((((ET650*2)*0.75))*BB650-(((EU650*2)*0.75))*BS650)+AE650*BS650)*AV650)</f>
        <v>19.544999999999998</v>
      </c>
      <c r="CS650">
        <f t="shared" si="552"/>
        <v>12.39</v>
      </c>
      <c r="CT650">
        <f t="shared" si="553"/>
        <v>138.38999999999999</v>
      </c>
      <c r="CU650">
        <f t="shared" si="554"/>
        <v>0</v>
      </c>
      <c r="CV650">
        <f t="shared" si="555"/>
        <v>0.19500000000000001</v>
      </c>
      <c r="CW650">
        <f t="shared" si="556"/>
        <v>0</v>
      </c>
      <c r="CX650">
        <f t="shared" si="557"/>
        <v>0</v>
      </c>
      <c r="CY650">
        <f t="shared" si="558"/>
        <v>290.61900000000003</v>
      </c>
      <c r="CZ650">
        <f t="shared" si="559"/>
        <v>41.516999999999996</v>
      </c>
      <c r="DC650" t="s">
        <v>3</v>
      </c>
      <c r="DD650" t="s">
        <v>539</v>
      </c>
      <c r="DE650" t="s">
        <v>545</v>
      </c>
      <c r="DF650" t="s">
        <v>545</v>
      </c>
      <c r="DG650" t="s">
        <v>545</v>
      </c>
      <c r="DH650" t="s">
        <v>3</v>
      </c>
      <c r="DI650" t="s">
        <v>545</v>
      </c>
      <c r="DJ650" t="s">
        <v>545</v>
      </c>
      <c r="DK650" t="s">
        <v>3</v>
      </c>
      <c r="DL650" t="s">
        <v>3</v>
      </c>
      <c r="DM650" t="s">
        <v>3</v>
      </c>
      <c r="DN650">
        <v>0</v>
      </c>
      <c r="DO650">
        <v>0</v>
      </c>
      <c r="DP650">
        <v>1</v>
      </c>
      <c r="DQ650">
        <v>1</v>
      </c>
      <c r="DU650">
        <v>16987630</v>
      </c>
      <c r="DV650" t="s">
        <v>31</v>
      </c>
      <c r="DW650" t="s">
        <v>31</v>
      </c>
      <c r="DX650">
        <v>1</v>
      </c>
      <c r="DZ650" t="s">
        <v>3</v>
      </c>
      <c r="EA650" t="s">
        <v>3</v>
      </c>
      <c r="EB650" t="s">
        <v>3</v>
      </c>
      <c r="EC650" t="s">
        <v>3</v>
      </c>
      <c r="EE650">
        <v>1441815344</v>
      </c>
      <c r="EF650">
        <v>1</v>
      </c>
      <c r="EG650" t="s">
        <v>19</v>
      </c>
      <c r="EH650">
        <v>0</v>
      </c>
      <c r="EI650" t="s">
        <v>3</v>
      </c>
      <c r="EJ650">
        <v>4</v>
      </c>
      <c r="EK650">
        <v>0</v>
      </c>
      <c r="EL650" t="s">
        <v>20</v>
      </c>
      <c r="EM650" t="s">
        <v>21</v>
      </c>
      <c r="EO650" t="s">
        <v>411</v>
      </c>
      <c r="EQ650">
        <v>1792</v>
      </c>
      <c r="ER650">
        <v>106.74</v>
      </c>
      <c r="ES650">
        <v>1.45</v>
      </c>
      <c r="ET650">
        <v>13.03</v>
      </c>
      <c r="EU650">
        <v>8.26</v>
      </c>
      <c r="EV650">
        <v>92.26</v>
      </c>
      <c r="EW650">
        <v>0.13</v>
      </c>
      <c r="EX650">
        <v>0</v>
      </c>
      <c r="EY650">
        <v>0</v>
      </c>
      <c r="FQ650">
        <v>0</v>
      </c>
      <c r="FR650">
        <f t="shared" si="560"/>
        <v>0</v>
      </c>
      <c r="FS650">
        <v>0</v>
      </c>
      <c r="FX650">
        <v>70</v>
      </c>
      <c r="FY650">
        <v>10</v>
      </c>
      <c r="GA650" t="s">
        <v>3</v>
      </c>
      <c r="GD650">
        <v>0</v>
      </c>
      <c r="GF650">
        <v>230831399</v>
      </c>
      <c r="GG650">
        <v>2</v>
      </c>
      <c r="GH650">
        <v>1</v>
      </c>
      <c r="GI650">
        <v>-2</v>
      </c>
      <c r="GJ650">
        <v>0</v>
      </c>
      <c r="GK650">
        <f>ROUND(R650*(R12)/100,2)</f>
        <v>40.14</v>
      </c>
      <c r="GL650">
        <f t="shared" si="561"/>
        <v>0</v>
      </c>
      <c r="GM650">
        <f t="shared" si="562"/>
        <v>854.79</v>
      </c>
      <c r="GN650">
        <f t="shared" si="563"/>
        <v>0</v>
      </c>
      <c r="GO650">
        <f t="shared" si="564"/>
        <v>0</v>
      </c>
      <c r="GP650">
        <f t="shared" si="565"/>
        <v>854.79</v>
      </c>
      <c r="GR650">
        <v>0</v>
      </c>
      <c r="GS650">
        <v>3</v>
      </c>
      <c r="GT650">
        <v>0</v>
      </c>
      <c r="GU650" t="s">
        <v>3</v>
      </c>
      <c r="GV650">
        <f t="shared" si="566"/>
        <v>0</v>
      </c>
      <c r="GW650">
        <v>1</v>
      </c>
      <c r="GX650">
        <f t="shared" si="567"/>
        <v>0</v>
      </c>
      <c r="HA650">
        <v>0</v>
      </c>
      <c r="HB650">
        <v>0</v>
      </c>
      <c r="HC650">
        <f t="shared" si="568"/>
        <v>0</v>
      </c>
      <c r="HE650" t="s">
        <v>3</v>
      </c>
      <c r="HF650" t="s">
        <v>3</v>
      </c>
      <c r="HM650" t="s">
        <v>3</v>
      </c>
      <c r="HN650" t="s">
        <v>3</v>
      </c>
      <c r="HO650" t="s">
        <v>3</v>
      </c>
      <c r="HP650" t="s">
        <v>3</v>
      </c>
      <c r="HQ650" t="s">
        <v>3</v>
      </c>
      <c r="IK650">
        <v>0</v>
      </c>
    </row>
    <row r="651" spans="1:245" x14ac:dyDescent="0.2">
      <c r="A651">
        <v>17</v>
      </c>
      <c r="B651">
        <v>1</v>
      </c>
      <c r="D651">
        <f>ROW(EtalonRes!A421)</f>
        <v>421</v>
      </c>
      <c r="E651" t="s">
        <v>546</v>
      </c>
      <c r="F651" t="s">
        <v>469</v>
      </c>
      <c r="G651" t="s">
        <v>547</v>
      </c>
      <c r="H651" t="s">
        <v>31</v>
      </c>
      <c r="I651">
        <v>6</v>
      </c>
      <c r="J651">
        <v>0</v>
      </c>
      <c r="K651">
        <v>6</v>
      </c>
      <c r="O651">
        <f t="shared" si="536"/>
        <v>9427.7999999999993</v>
      </c>
      <c r="P651">
        <f t="shared" si="537"/>
        <v>270.48</v>
      </c>
      <c r="Q651">
        <f t="shared" si="538"/>
        <v>0</v>
      </c>
      <c r="R651">
        <f t="shared" si="539"/>
        <v>0</v>
      </c>
      <c r="S651">
        <f t="shared" si="540"/>
        <v>9157.32</v>
      </c>
      <c r="T651">
        <f t="shared" si="541"/>
        <v>0</v>
      </c>
      <c r="U651">
        <f t="shared" si="542"/>
        <v>11.040000000000001</v>
      </c>
      <c r="V651">
        <f t="shared" si="543"/>
        <v>0</v>
      </c>
      <c r="W651">
        <f t="shared" si="544"/>
        <v>0</v>
      </c>
      <c r="X651">
        <f t="shared" si="545"/>
        <v>6410.12</v>
      </c>
      <c r="Y651">
        <f t="shared" si="546"/>
        <v>915.73</v>
      </c>
      <c r="AA651">
        <v>1471988752</v>
      </c>
      <c r="AB651">
        <f t="shared" si="547"/>
        <v>1571.3</v>
      </c>
      <c r="AC651">
        <f>ROUND(((ES651*2)),6)</f>
        <v>45.08</v>
      </c>
      <c r="AD651">
        <f>ROUND(((((ET651*2))-((EU651*2)))+AE651),6)</f>
        <v>0</v>
      </c>
      <c r="AE651">
        <f t="shared" ref="AE651:AF653" si="571">ROUND(((EU651*2)),6)</f>
        <v>0</v>
      </c>
      <c r="AF651">
        <f t="shared" si="571"/>
        <v>1526.22</v>
      </c>
      <c r="AG651">
        <f t="shared" si="548"/>
        <v>0</v>
      </c>
      <c r="AH651">
        <f t="shared" ref="AH651:AI653" si="572">((EW651*2))</f>
        <v>1.84</v>
      </c>
      <c r="AI651">
        <f t="shared" si="572"/>
        <v>0</v>
      </c>
      <c r="AJ651">
        <f t="shared" si="549"/>
        <v>0</v>
      </c>
      <c r="AK651">
        <v>785.65</v>
      </c>
      <c r="AL651">
        <v>22.54</v>
      </c>
      <c r="AM651">
        <v>0</v>
      </c>
      <c r="AN651">
        <v>0</v>
      </c>
      <c r="AO651">
        <v>763.11</v>
      </c>
      <c r="AP651">
        <v>0</v>
      </c>
      <c r="AQ651">
        <v>0.92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471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3</v>
      </c>
      <c r="CO651">
        <v>0</v>
      </c>
      <c r="CP651">
        <f t="shared" si="550"/>
        <v>9427.7999999999993</v>
      </c>
      <c r="CQ651">
        <f t="shared" si="551"/>
        <v>45.08</v>
      </c>
      <c r="CR651">
        <f>(((((ET651*2))*BB651-((EU651*2))*BS651)+AE651*BS651)*AV651)</f>
        <v>0</v>
      </c>
      <c r="CS651">
        <f t="shared" si="552"/>
        <v>0</v>
      </c>
      <c r="CT651">
        <f t="shared" si="553"/>
        <v>1526.22</v>
      </c>
      <c r="CU651">
        <f t="shared" si="554"/>
        <v>0</v>
      </c>
      <c r="CV651">
        <f t="shared" si="555"/>
        <v>1.84</v>
      </c>
      <c r="CW651">
        <f t="shared" si="556"/>
        <v>0</v>
      </c>
      <c r="CX651">
        <f t="shared" si="557"/>
        <v>0</v>
      </c>
      <c r="CY651">
        <f t="shared" si="558"/>
        <v>6410.1239999999998</v>
      </c>
      <c r="CZ651">
        <f t="shared" si="559"/>
        <v>915.73199999999997</v>
      </c>
      <c r="DC651" t="s">
        <v>3</v>
      </c>
      <c r="DD651" t="s">
        <v>117</v>
      </c>
      <c r="DE651" t="s">
        <v>117</v>
      </c>
      <c r="DF651" t="s">
        <v>117</v>
      </c>
      <c r="DG651" t="s">
        <v>117</v>
      </c>
      <c r="DH651" t="s">
        <v>3</v>
      </c>
      <c r="DI651" t="s">
        <v>117</v>
      </c>
      <c r="DJ651" t="s">
        <v>117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16987630</v>
      </c>
      <c r="DV651" t="s">
        <v>31</v>
      </c>
      <c r="DW651" t="s">
        <v>31</v>
      </c>
      <c r="DX651">
        <v>1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19</v>
      </c>
      <c r="EH651">
        <v>0</v>
      </c>
      <c r="EI651" t="s">
        <v>3</v>
      </c>
      <c r="EJ651">
        <v>4</v>
      </c>
      <c r="EK651">
        <v>0</v>
      </c>
      <c r="EL651" t="s">
        <v>20</v>
      </c>
      <c r="EM651" t="s">
        <v>21</v>
      </c>
      <c r="EO651" t="s">
        <v>3</v>
      </c>
      <c r="EQ651">
        <v>0</v>
      </c>
      <c r="ER651">
        <v>785.65</v>
      </c>
      <c r="ES651">
        <v>22.54</v>
      </c>
      <c r="ET651">
        <v>0</v>
      </c>
      <c r="EU651">
        <v>0</v>
      </c>
      <c r="EV651">
        <v>763.11</v>
      </c>
      <c r="EW651">
        <v>0.92</v>
      </c>
      <c r="EX651">
        <v>0</v>
      </c>
      <c r="EY651">
        <v>0</v>
      </c>
      <c r="FQ651">
        <v>0</v>
      </c>
      <c r="FR651">
        <f t="shared" si="560"/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1819182486</v>
      </c>
      <c r="GG651">
        <v>2</v>
      </c>
      <c r="GH651">
        <v>1</v>
      </c>
      <c r="GI651">
        <v>-2</v>
      </c>
      <c r="GJ651">
        <v>0</v>
      </c>
      <c r="GK651">
        <f>ROUND(R651*(R12)/100,2)</f>
        <v>0</v>
      </c>
      <c r="GL651">
        <f t="shared" si="561"/>
        <v>0</v>
      </c>
      <c r="GM651">
        <f t="shared" si="562"/>
        <v>16753.650000000001</v>
      </c>
      <c r="GN651">
        <f t="shared" si="563"/>
        <v>0</v>
      </c>
      <c r="GO651">
        <f t="shared" si="564"/>
        <v>0</v>
      </c>
      <c r="GP651">
        <f t="shared" si="565"/>
        <v>16753.650000000001</v>
      </c>
      <c r="GR651">
        <v>0</v>
      </c>
      <c r="GS651">
        <v>3</v>
      </c>
      <c r="GT651">
        <v>0</v>
      </c>
      <c r="GU651" t="s">
        <v>3</v>
      </c>
      <c r="GV651">
        <f t="shared" si="566"/>
        <v>0</v>
      </c>
      <c r="GW651">
        <v>1</v>
      </c>
      <c r="GX651">
        <f t="shared" si="567"/>
        <v>0</v>
      </c>
      <c r="HA651">
        <v>0</v>
      </c>
      <c r="HB651">
        <v>0</v>
      </c>
      <c r="HC651">
        <f t="shared" si="568"/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ROW(EtalonRes!A422)</f>
        <v>422</v>
      </c>
      <c r="E652" t="s">
        <v>548</v>
      </c>
      <c r="F652" t="s">
        <v>181</v>
      </c>
      <c r="G652" t="s">
        <v>549</v>
      </c>
      <c r="H652" t="s">
        <v>31</v>
      </c>
      <c r="I652">
        <v>14</v>
      </c>
      <c r="J652">
        <v>0</v>
      </c>
      <c r="K652">
        <v>14</v>
      </c>
      <c r="O652">
        <f t="shared" si="536"/>
        <v>13831.72</v>
      </c>
      <c r="P652">
        <f t="shared" si="537"/>
        <v>0</v>
      </c>
      <c r="Q652">
        <f t="shared" si="538"/>
        <v>0</v>
      </c>
      <c r="R652">
        <f t="shared" si="539"/>
        <v>0</v>
      </c>
      <c r="S652">
        <f t="shared" si="540"/>
        <v>13831.72</v>
      </c>
      <c r="T652">
        <f t="shared" si="541"/>
        <v>0</v>
      </c>
      <c r="U652">
        <f t="shared" si="542"/>
        <v>22.400000000000002</v>
      </c>
      <c r="V652">
        <f t="shared" si="543"/>
        <v>0</v>
      </c>
      <c r="W652">
        <f t="shared" si="544"/>
        <v>0</v>
      </c>
      <c r="X652">
        <f t="shared" si="545"/>
        <v>9682.2000000000007</v>
      </c>
      <c r="Y652">
        <f t="shared" si="546"/>
        <v>1383.17</v>
      </c>
      <c r="AA652">
        <v>1471988752</v>
      </c>
      <c r="AB652">
        <f t="shared" si="547"/>
        <v>987.98</v>
      </c>
      <c r="AC652">
        <f>ROUND(((ES652*2)),6)</f>
        <v>0</v>
      </c>
      <c r="AD652">
        <f>ROUND(((((ET652*2))-((EU652*2)))+AE652),6)</f>
        <v>0</v>
      </c>
      <c r="AE652">
        <f t="shared" si="571"/>
        <v>0</v>
      </c>
      <c r="AF652">
        <f t="shared" si="571"/>
        <v>987.98</v>
      </c>
      <c r="AG652">
        <f t="shared" si="548"/>
        <v>0</v>
      </c>
      <c r="AH652">
        <f t="shared" si="572"/>
        <v>1.6</v>
      </c>
      <c r="AI652">
        <f t="shared" si="572"/>
        <v>0</v>
      </c>
      <c r="AJ652">
        <f t="shared" si="549"/>
        <v>0</v>
      </c>
      <c r="AK652">
        <v>493.99</v>
      </c>
      <c r="AL652">
        <v>0</v>
      </c>
      <c r="AM652">
        <v>0</v>
      </c>
      <c r="AN652">
        <v>0</v>
      </c>
      <c r="AO652">
        <v>493.99</v>
      </c>
      <c r="AP652">
        <v>0</v>
      </c>
      <c r="AQ652">
        <v>0.8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183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550"/>
        <v>13831.72</v>
      </c>
      <c r="CQ652">
        <f t="shared" si="551"/>
        <v>0</v>
      </c>
      <c r="CR652">
        <f>(((((ET652*2))*BB652-((EU652*2))*BS652)+AE652*BS652)*AV652)</f>
        <v>0</v>
      </c>
      <c r="CS652">
        <f t="shared" si="552"/>
        <v>0</v>
      </c>
      <c r="CT652">
        <f t="shared" si="553"/>
        <v>987.98</v>
      </c>
      <c r="CU652">
        <f t="shared" si="554"/>
        <v>0</v>
      </c>
      <c r="CV652">
        <f t="shared" si="555"/>
        <v>1.6</v>
      </c>
      <c r="CW652">
        <f t="shared" si="556"/>
        <v>0</v>
      </c>
      <c r="CX652">
        <f t="shared" si="557"/>
        <v>0</v>
      </c>
      <c r="CY652">
        <f t="shared" si="558"/>
        <v>9682.2039999999997</v>
      </c>
      <c r="CZ652">
        <f t="shared" si="559"/>
        <v>1383.1719999999998</v>
      </c>
      <c r="DC652" t="s">
        <v>3</v>
      </c>
      <c r="DD652" t="s">
        <v>117</v>
      </c>
      <c r="DE652" t="s">
        <v>117</v>
      </c>
      <c r="DF652" t="s">
        <v>117</v>
      </c>
      <c r="DG652" t="s">
        <v>117</v>
      </c>
      <c r="DH652" t="s">
        <v>3</v>
      </c>
      <c r="DI652" t="s">
        <v>117</v>
      </c>
      <c r="DJ652" t="s">
        <v>117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16987630</v>
      </c>
      <c r="DV652" t="s">
        <v>31</v>
      </c>
      <c r="DW652" t="s">
        <v>31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19</v>
      </c>
      <c r="EH652">
        <v>0</v>
      </c>
      <c r="EI652" t="s">
        <v>3</v>
      </c>
      <c r="EJ652">
        <v>4</v>
      </c>
      <c r="EK652">
        <v>0</v>
      </c>
      <c r="EL652" t="s">
        <v>20</v>
      </c>
      <c r="EM652" t="s">
        <v>21</v>
      </c>
      <c r="EO652" t="s">
        <v>3</v>
      </c>
      <c r="EQ652">
        <v>0</v>
      </c>
      <c r="ER652">
        <v>493.99</v>
      </c>
      <c r="ES652">
        <v>0</v>
      </c>
      <c r="ET652">
        <v>0</v>
      </c>
      <c r="EU652">
        <v>0</v>
      </c>
      <c r="EV652">
        <v>493.99</v>
      </c>
      <c r="EW652">
        <v>0.8</v>
      </c>
      <c r="EX652">
        <v>0</v>
      </c>
      <c r="EY652">
        <v>0</v>
      </c>
      <c r="FQ652">
        <v>0</v>
      </c>
      <c r="FR652">
        <f t="shared" si="560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35310888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561"/>
        <v>0</v>
      </c>
      <c r="GM652">
        <f t="shared" si="562"/>
        <v>24897.09</v>
      </c>
      <c r="GN652">
        <f t="shared" si="563"/>
        <v>0</v>
      </c>
      <c r="GO652">
        <f t="shared" si="564"/>
        <v>0</v>
      </c>
      <c r="GP652">
        <f t="shared" si="565"/>
        <v>24897.09</v>
      </c>
      <c r="GR652">
        <v>0</v>
      </c>
      <c r="GS652">
        <v>3</v>
      </c>
      <c r="GT652">
        <v>0</v>
      </c>
      <c r="GU652" t="s">
        <v>3</v>
      </c>
      <c r="GV652">
        <f t="shared" si="566"/>
        <v>0</v>
      </c>
      <c r="GW652">
        <v>1</v>
      </c>
      <c r="GX652">
        <f t="shared" si="567"/>
        <v>0</v>
      </c>
      <c r="HA652">
        <v>0</v>
      </c>
      <c r="HB652">
        <v>0</v>
      </c>
      <c r="HC652">
        <f t="shared" si="568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ROW(EtalonRes!A423)</f>
        <v>423</v>
      </c>
      <c r="E653" t="s">
        <v>550</v>
      </c>
      <c r="F653" t="s">
        <v>465</v>
      </c>
      <c r="G653" t="s">
        <v>551</v>
      </c>
      <c r="H653" t="s">
        <v>31</v>
      </c>
      <c r="I653">
        <v>2</v>
      </c>
      <c r="J653">
        <v>0</v>
      </c>
      <c r="K653">
        <v>2</v>
      </c>
      <c r="O653">
        <f t="shared" si="536"/>
        <v>2025.36</v>
      </c>
      <c r="P653">
        <f t="shared" si="537"/>
        <v>0</v>
      </c>
      <c r="Q653">
        <f t="shared" si="538"/>
        <v>0</v>
      </c>
      <c r="R653">
        <f t="shared" si="539"/>
        <v>0</v>
      </c>
      <c r="S653">
        <f t="shared" si="540"/>
        <v>2025.36</v>
      </c>
      <c r="T653">
        <f t="shared" si="541"/>
        <v>0</v>
      </c>
      <c r="U653">
        <f t="shared" si="542"/>
        <v>3.28</v>
      </c>
      <c r="V653">
        <f t="shared" si="543"/>
        <v>0</v>
      </c>
      <c r="W653">
        <f t="shared" si="544"/>
        <v>0</v>
      </c>
      <c r="X653">
        <f t="shared" si="545"/>
        <v>1417.75</v>
      </c>
      <c r="Y653">
        <f t="shared" si="546"/>
        <v>202.54</v>
      </c>
      <c r="AA653">
        <v>1471988752</v>
      </c>
      <c r="AB653">
        <f t="shared" si="547"/>
        <v>1012.68</v>
      </c>
      <c r="AC653">
        <f>ROUND(((ES653*2)),6)</f>
        <v>0</v>
      </c>
      <c r="AD653">
        <f>ROUND(((((ET653*2))-((EU653*2)))+AE653),6)</f>
        <v>0</v>
      </c>
      <c r="AE653">
        <f t="shared" si="571"/>
        <v>0</v>
      </c>
      <c r="AF653">
        <f t="shared" si="571"/>
        <v>1012.68</v>
      </c>
      <c r="AG653">
        <f t="shared" si="548"/>
        <v>0</v>
      </c>
      <c r="AH653">
        <f t="shared" si="572"/>
        <v>1.64</v>
      </c>
      <c r="AI653">
        <f t="shared" si="572"/>
        <v>0</v>
      </c>
      <c r="AJ653">
        <f t="shared" si="549"/>
        <v>0</v>
      </c>
      <c r="AK653">
        <v>506.34</v>
      </c>
      <c r="AL653">
        <v>0</v>
      </c>
      <c r="AM653">
        <v>0</v>
      </c>
      <c r="AN653">
        <v>0</v>
      </c>
      <c r="AO653">
        <v>506.34</v>
      </c>
      <c r="AP653">
        <v>0</v>
      </c>
      <c r="AQ653">
        <v>0.82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467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50"/>
        <v>2025.36</v>
      </c>
      <c r="CQ653">
        <f t="shared" si="551"/>
        <v>0</v>
      </c>
      <c r="CR653">
        <f>(((((ET653*2))*BB653-((EU653*2))*BS653)+AE653*BS653)*AV653)</f>
        <v>0</v>
      </c>
      <c r="CS653">
        <f t="shared" si="552"/>
        <v>0</v>
      </c>
      <c r="CT653">
        <f t="shared" si="553"/>
        <v>1012.68</v>
      </c>
      <c r="CU653">
        <f t="shared" si="554"/>
        <v>0</v>
      </c>
      <c r="CV653">
        <f t="shared" si="555"/>
        <v>1.64</v>
      </c>
      <c r="CW653">
        <f t="shared" si="556"/>
        <v>0</v>
      </c>
      <c r="CX653">
        <f t="shared" si="557"/>
        <v>0</v>
      </c>
      <c r="CY653">
        <f t="shared" si="558"/>
        <v>1417.7519999999997</v>
      </c>
      <c r="CZ653">
        <f t="shared" si="559"/>
        <v>202.53599999999997</v>
      </c>
      <c r="DC653" t="s">
        <v>3</v>
      </c>
      <c r="DD653" t="s">
        <v>117</v>
      </c>
      <c r="DE653" t="s">
        <v>117</v>
      </c>
      <c r="DF653" t="s">
        <v>117</v>
      </c>
      <c r="DG653" t="s">
        <v>117</v>
      </c>
      <c r="DH653" t="s">
        <v>3</v>
      </c>
      <c r="DI653" t="s">
        <v>117</v>
      </c>
      <c r="DJ653" t="s">
        <v>117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16987630</v>
      </c>
      <c r="DV653" t="s">
        <v>31</v>
      </c>
      <c r="DW653" t="s">
        <v>31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19</v>
      </c>
      <c r="EH653">
        <v>0</v>
      </c>
      <c r="EI653" t="s">
        <v>3</v>
      </c>
      <c r="EJ653">
        <v>4</v>
      </c>
      <c r="EK653">
        <v>0</v>
      </c>
      <c r="EL653" t="s">
        <v>20</v>
      </c>
      <c r="EM653" t="s">
        <v>21</v>
      </c>
      <c r="EO653" t="s">
        <v>3</v>
      </c>
      <c r="EQ653">
        <v>0</v>
      </c>
      <c r="ER653">
        <v>506.34</v>
      </c>
      <c r="ES653">
        <v>0</v>
      </c>
      <c r="ET653">
        <v>0</v>
      </c>
      <c r="EU653">
        <v>0</v>
      </c>
      <c r="EV653">
        <v>506.34</v>
      </c>
      <c r="EW653">
        <v>0.82</v>
      </c>
      <c r="EX653">
        <v>0</v>
      </c>
      <c r="EY653">
        <v>0</v>
      </c>
      <c r="FQ653">
        <v>0</v>
      </c>
      <c r="FR653">
        <f t="shared" si="560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2100601039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61"/>
        <v>0</v>
      </c>
      <c r="GM653">
        <f t="shared" si="562"/>
        <v>3645.65</v>
      </c>
      <c r="GN653">
        <f t="shared" si="563"/>
        <v>0</v>
      </c>
      <c r="GO653">
        <f t="shared" si="564"/>
        <v>0</v>
      </c>
      <c r="GP653">
        <f t="shared" si="565"/>
        <v>3645.65</v>
      </c>
      <c r="GR653">
        <v>0</v>
      </c>
      <c r="GS653">
        <v>3</v>
      </c>
      <c r="GT653">
        <v>0</v>
      </c>
      <c r="GU653" t="s">
        <v>3</v>
      </c>
      <c r="GV653">
        <f t="shared" si="566"/>
        <v>0</v>
      </c>
      <c r="GW653">
        <v>1</v>
      </c>
      <c r="GX653">
        <f t="shared" si="567"/>
        <v>0</v>
      </c>
      <c r="HA653">
        <v>0</v>
      </c>
      <c r="HB653">
        <v>0</v>
      </c>
      <c r="HC653">
        <f t="shared" si="568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ROW(EtalonRes!A424)</f>
        <v>424</v>
      </c>
      <c r="E654" t="s">
        <v>552</v>
      </c>
      <c r="F654" t="s">
        <v>119</v>
      </c>
      <c r="G654" t="s">
        <v>120</v>
      </c>
      <c r="H654" t="s">
        <v>17</v>
      </c>
      <c r="I654">
        <f>ROUND(ROUND((1200+500+2000+500+100+50+10+350)*0.1/100,9),9)</f>
        <v>4.71</v>
      </c>
      <c r="J654">
        <v>0</v>
      </c>
      <c r="K654">
        <f>ROUND(ROUND((1200+500+2000+500+100+50+10+350)*0.1/100,9),9)</f>
        <v>4.71</v>
      </c>
      <c r="O654">
        <f t="shared" si="536"/>
        <v>2339.7399999999998</v>
      </c>
      <c r="P654">
        <f t="shared" si="537"/>
        <v>0</v>
      </c>
      <c r="Q654">
        <f t="shared" si="538"/>
        <v>0</v>
      </c>
      <c r="R654">
        <f t="shared" si="539"/>
        <v>0</v>
      </c>
      <c r="S654">
        <f t="shared" si="540"/>
        <v>2339.7399999999998</v>
      </c>
      <c r="T654">
        <f t="shared" si="541"/>
        <v>0</v>
      </c>
      <c r="U654">
        <f t="shared" si="542"/>
        <v>3.2969999999999997</v>
      </c>
      <c r="V654">
        <f t="shared" si="543"/>
        <v>0</v>
      </c>
      <c r="W654">
        <f t="shared" si="544"/>
        <v>0</v>
      </c>
      <c r="X654">
        <f t="shared" si="545"/>
        <v>1637.82</v>
      </c>
      <c r="Y654">
        <f t="shared" si="546"/>
        <v>233.97</v>
      </c>
      <c r="AA654">
        <v>1471988752</v>
      </c>
      <c r="AB654">
        <f t="shared" si="547"/>
        <v>496.76</v>
      </c>
      <c r="AC654">
        <f>ROUND((ES654),6)</f>
        <v>0</v>
      </c>
      <c r="AD654">
        <f>ROUND((((ET654)-(EU654))+AE654),6)</f>
        <v>0</v>
      </c>
      <c r="AE654">
        <f>ROUND((EU654),6)</f>
        <v>0</v>
      </c>
      <c r="AF654">
        <f>ROUND((EV654),6)</f>
        <v>496.76</v>
      </c>
      <c r="AG654">
        <f t="shared" si="548"/>
        <v>0</v>
      </c>
      <c r="AH654">
        <f>(EW654)</f>
        <v>0.7</v>
      </c>
      <c r="AI654">
        <f>(EX654)</f>
        <v>0</v>
      </c>
      <c r="AJ654">
        <f t="shared" si="549"/>
        <v>0</v>
      </c>
      <c r="AK654">
        <v>496.76</v>
      </c>
      <c r="AL654">
        <v>0</v>
      </c>
      <c r="AM654">
        <v>0</v>
      </c>
      <c r="AN654">
        <v>0</v>
      </c>
      <c r="AO654">
        <v>496.76</v>
      </c>
      <c r="AP654">
        <v>0</v>
      </c>
      <c r="AQ654">
        <v>0.7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121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50"/>
        <v>2339.7399999999998</v>
      </c>
      <c r="CQ654">
        <f t="shared" si="551"/>
        <v>0</v>
      </c>
      <c r="CR654">
        <f>((((ET654)*BB654-(EU654)*BS654)+AE654*BS654)*AV654)</f>
        <v>0</v>
      </c>
      <c r="CS654">
        <f t="shared" si="552"/>
        <v>0</v>
      </c>
      <c r="CT654">
        <f t="shared" si="553"/>
        <v>496.76</v>
      </c>
      <c r="CU654">
        <f t="shared" si="554"/>
        <v>0</v>
      </c>
      <c r="CV654">
        <f t="shared" si="555"/>
        <v>0.7</v>
      </c>
      <c r="CW654">
        <f t="shared" si="556"/>
        <v>0</v>
      </c>
      <c r="CX654">
        <f t="shared" si="557"/>
        <v>0</v>
      </c>
      <c r="CY654">
        <f t="shared" si="558"/>
        <v>1637.818</v>
      </c>
      <c r="CZ654">
        <f t="shared" si="559"/>
        <v>233.97399999999999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1003</v>
      </c>
      <c r="DV654" t="s">
        <v>17</v>
      </c>
      <c r="DW654" t="s">
        <v>17</v>
      </c>
      <c r="DX654">
        <v>100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19</v>
      </c>
      <c r="EH654">
        <v>0</v>
      </c>
      <c r="EI654" t="s">
        <v>3</v>
      </c>
      <c r="EJ654">
        <v>4</v>
      </c>
      <c r="EK654">
        <v>0</v>
      </c>
      <c r="EL654" t="s">
        <v>20</v>
      </c>
      <c r="EM654" t="s">
        <v>21</v>
      </c>
      <c r="EO654" t="s">
        <v>3</v>
      </c>
      <c r="EQ654">
        <v>0</v>
      </c>
      <c r="ER654">
        <v>496.76</v>
      </c>
      <c r="ES654">
        <v>0</v>
      </c>
      <c r="ET654">
        <v>0</v>
      </c>
      <c r="EU654">
        <v>0</v>
      </c>
      <c r="EV654">
        <v>496.76</v>
      </c>
      <c r="EW654">
        <v>0.7</v>
      </c>
      <c r="EX654">
        <v>0</v>
      </c>
      <c r="EY654">
        <v>0</v>
      </c>
      <c r="FQ654">
        <v>0</v>
      </c>
      <c r="FR654">
        <f t="shared" si="560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-1307125436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561"/>
        <v>0</v>
      </c>
      <c r="GM654">
        <f t="shared" si="562"/>
        <v>4211.53</v>
      </c>
      <c r="GN654">
        <f t="shared" si="563"/>
        <v>0</v>
      </c>
      <c r="GO654">
        <f t="shared" si="564"/>
        <v>0</v>
      </c>
      <c r="GP654">
        <f t="shared" si="565"/>
        <v>4211.53</v>
      </c>
      <c r="GR654">
        <v>0</v>
      </c>
      <c r="GS654">
        <v>3</v>
      </c>
      <c r="GT654">
        <v>0</v>
      </c>
      <c r="GU654" t="s">
        <v>3</v>
      </c>
      <c r="GV654">
        <f t="shared" si="566"/>
        <v>0</v>
      </c>
      <c r="GW654">
        <v>1</v>
      </c>
      <c r="GX654">
        <f t="shared" si="567"/>
        <v>0</v>
      </c>
      <c r="HA654">
        <v>0</v>
      </c>
      <c r="HB654">
        <v>0</v>
      </c>
      <c r="HC654">
        <f t="shared" si="568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6" spans="1:245" x14ac:dyDescent="0.2">
      <c r="A656" s="2">
        <v>51</v>
      </c>
      <c r="B656" s="2">
        <f>B638</f>
        <v>1</v>
      </c>
      <c r="C656" s="2">
        <f>A638</f>
        <v>5</v>
      </c>
      <c r="D656" s="2">
        <f>ROW(A638)</f>
        <v>638</v>
      </c>
      <c r="E656" s="2"/>
      <c r="F656" s="2" t="str">
        <f>IF(F638&lt;&gt;"",F638,"")</f>
        <v>Новый подраздел</v>
      </c>
      <c r="G656" s="2" t="str">
        <f>IF(G638&lt;&gt;"",G638,"")</f>
        <v>5.2  Приборы и средства автоматизации</v>
      </c>
      <c r="H656" s="2">
        <v>0</v>
      </c>
      <c r="I656" s="2"/>
      <c r="J656" s="2"/>
      <c r="K656" s="2"/>
      <c r="L656" s="2"/>
      <c r="M656" s="2"/>
      <c r="N656" s="2"/>
      <c r="O656" s="2">
        <f t="shared" ref="O656:T656" si="573">ROUND(AB656,2)</f>
        <v>63718.84</v>
      </c>
      <c r="P656" s="2">
        <f t="shared" si="573"/>
        <v>367.19</v>
      </c>
      <c r="Q656" s="2">
        <f t="shared" si="573"/>
        <v>273.63</v>
      </c>
      <c r="R656" s="2">
        <f t="shared" si="573"/>
        <v>173.5</v>
      </c>
      <c r="S656" s="2">
        <f t="shared" si="573"/>
        <v>63078.02</v>
      </c>
      <c r="T656" s="2">
        <f t="shared" si="573"/>
        <v>0</v>
      </c>
      <c r="U656" s="2">
        <f>AH656</f>
        <v>90.271000000000001</v>
      </c>
      <c r="V656" s="2">
        <f>AI656</f>
        <v>0</v>
      </c>
      <c r="W656" s="2">
        <f>ROUND(AJ656,2)</f>
        <v>0</v>
      </c>
      <c r="X656" s="2">
        <f>ROUND(AK656,2)</f>
        <v>44154.62</v>
      </c>
      <c r="Y656" s="2">
        <f>ROUND(AL656,2)</f>
        <v>6307.81</v>
      </c>
      <c r="Z656" s="2"/>
      <c r="AA656" s="2"/>
      <c r="AB656" s="2">
        <f>ROUND(SUMIF(AA642:AA654,"=1471988752",O642:O654),2)</f>
        <v>63718.84</v>
      </c>
      <c r="AC656" s="2">
        <f>ROUND(SUMIF(AA642:AA654,"=1471988752",P642:P654),2)</f>
        <v>367.19</v>
      </c>
      <c r="AD656" s="2">
        <f>ROUND(SUMIF(AA642:AA654,"=1471988752",Q642:Q654),2)</f>
        <v>273.63</v>
      </c>
      <c r="AE656" s="2">
        <f>ROUND(SUMIF(AA642:AA654,"=1471988752",R642:R654),2)</f>
        <v>173.5</v>
      </c>
      <c r="AF656" s="2">
        <f>ROUND(SUMIF(AA642:AA654,"=1471988752",S642:S654),2)</f>
        <v>63078.02</v>
      </c>
      <c r="AG656" s="2">
        <f>ROUND(SUMIF(AA642:AA654,"=1471988752",T642:T654),2)</f>
        <v>0</v>
      </c>
      <c r="AH656" s="2">
        <f>SUMIF(AA642:AA654,"=1471988752",U642:U654)</f>
        <v>90.271000000000001</v>
      </c>
      <c r="AI656" s="2">
        <f>SUMIF(AA642:AA654,"=1471988752",V642:V654)</f>
        <v>0</v>
      </c>
      <c r="AJ656" s="2">
        <f>ROUND(SUMIF(AA642:AA654,"=1471988752",W642:W654),2)</f>
        <v>0</v>
      </c>
      <c r="AK656" s="2">
        <f>ROUND(SUMIF(AA642:AA654,"=1471988752",X642:X654),2)</f>
        <v>44154.62</v>
      </c>
      <c r="AL656" s="2">
        <f>ROUND(SUMIF(AA642:AA654,"=1471988752",Y642:Y654),2)</f>
        <v>6307.81</v>
      </c>
      <c r="AM656" s="2"/>
      <c r="AN656" s="2"/>
      <c r="AO656" s="2">
        <f t="shared" ref="AO656:BD656" si="574">ROUND(BX656,2)</f>
        <v>0</v>
      </c>
      <c r="AP656" s="2">
        <f t="shared" si="574"/>
        <v>0</v>
      </c>
      <c r="AQ656" s="2">
        <f t="shared" si="574"/>
        <v>0</v>
      </c>
      <c r="AR656" s="2">
        <f t="shared" si="574"/>
        <v>114368.65</v>
      </c>
      <c r="AS656" s="2">
        <f t="shared" si="574"/>
        <v>0</v>
      </c>
      <c r="AT656" s="2">
        <f t="shared" si="574"/>
        <v>0</v>
      </c>
      <c r="AU656" s="2">
        <f t="shared" si="574"/>
        <v>114368.65</v>
      </c>
      <c r="AV656" s="2">
        <f t="shared" si="574"/>
        <v>367.19</v>
      </c>
      <c r="AW656" s="2">
        <f t="shared" si="574"/>
        <v>367.19</v>
      </c>
      <c r="AX656" s="2">
        <f t="shared" si="574"/>
        <v>0</v>
      </c>
      <c r="AY656" s="2">
        <f t="shared" si="574"/>
        <v>367.19</v>
      </c>
      <c r="AZ656" s="2">
        <f t="shared" si="574"/>
        <v>0</v>
      </c>
      <c r="BA656" s="2">
        <f t="shared" si="574"/>
        <v>0</v>
      </c>
      <c r="BB656" s="2">
        <f t="shared" si="574"/>
        <v>0</v>
      </c>
      <c r="BC656" s="2">
        <f t="shared" si="574"/>
        <v>0</v>
      </c>
      <c r="BD656" s="2">
        <f t="shared" si="574"/>
        <v>0</v>
      </c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>
        <f>ROUND(SUMIF(AA642:AA654,"=1471988752",FQ642:FQ654),2)</f>
        <v>0</v>
      </c>
      <c r="BY656" s="2">
        <f>ROUND(SUMIF(AA642:AA654,"=1471988752",FR642:FR654),2)</f>
        <v>0</v>
      </c>
      <c r="BZ656" s="2">
        <f>ROUND(SUMIF(AA642:AA654,"=1471988752",GL642:GL654),2)</f>
        <v>0</v>
      </c>
      <c r="CA656" s="2">
        <f>ROUND(SUMIF(AA642:AA654,"=1471988752",GM642:GM654),2)</f>
        <v>114368.65</v>
      </c>
      <c r="CB656" s="2">
        <f>ROUND(SUMIF(AA642:AA654,"=1471988752",GN642:GN654),2)</f>
        <v>0</v>
      </c>
      <c r="CC656" s="2">
        <f>ROUND(SUMIF(AA642:AA654,"=1471988752",GO642:GO654),2)</f>
        <v>0</v>
      </c>
      <c r="CD656" s="2">
        <f>ROUND(SUMIF(AA642:AA654,"=1471988752",GP642:GP654),2)</f>
        <v>114368.65</v>
      </c>
      <c r="CE656" s="2">
        <f>AC656-BX656</f>
        <v>367.19</v>
      </c>
      <c r="CF656" s="2">
        <f>AC656-BY656</f>
        <v>367.19</v>
      </c>
      <c r="CG656" s="2">
        <f>BX656-BZ656</f>
        <v>0</v>
      </c>
      <c r="CH656" s="2">
        <f>AC656-BX656-BY656+BZ656</f>
        <v>367.19</v>
      </c>
      <c r="CI656" s="2">
        <f>BY656-BZ656</f>
        <v>0</v>
      </c>
      <c r="CJ656" s="2">
        <f>ROUND(SUMIF(AA642:AA654,"=1471988752",GX642:GX654),2)</f>
        <v>0</v>
      </c>
      <c r="CK656" s="2">
        <f>ROUND(SUMIF(AA642:AA654,"=1471988752",GY642:GY654),2)</f>
        <v>0</v>
      </c>
      <c r="CL656" s="2">
        <f>ROUND(SUMIF(AA642:AA654,"=1471988752",GZ642:GZ654),2)</f>
        <v>0</v>
      </c>
      <c r="CM656" s="2">
        <f>ROUND(SUMIF(AA642:AA654,"=1471988752",HD642:HD654),2)</f>
        <v>0</v>
      </c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3"/>
      <c r="DH656" s="3"/>
      <c r="DI656" s="3"/>
      <c r="DJ656" s="3"/>
      <c r="DK656" s="3"/>
      <c r="DL656" s="3"/>
      <c r="DM656" s="3"/>
      <c r="DN656" s="3"/>
      <c r="DO656" s="3"/>
      <c r="DP656" s="3"/>
      <c r="DQ656" s="3"/>
      <c r="DR656" s="3"/>
      <c r="DS656" s="3"/>
      <c r="DT656" s="3"/>
      <c r="DU656" s="3"/>
      <c r="DV656" s="3"/>
      <c r="DW656" s="3"/>
      <c r="DX656" s="3"/>
      <c r="DY656" s="3"/>
      <c r="DZ656" s="3"/>
      <c r="EA656" s="3"/>
      <c r="EB656" s="3"/>
      <c r="EC656" s="3"/>
      <c r="ED656" s="3"/>
      <c r="EE656" s="3"/>
      <c r="EF656" s="3"/>
      <c r="EG656" s="3"/>
      <c r="EH656" s="3"/>
      <c r="EI656" s="3"/>
      <c r="EJ656" s="3"/>
      <c r="EK656" s="3"/>
      <c r="EL656" s="3"/>
      <c r="EM656" s="3"/>
      <c r="EN656" s="3"/>
      <c r="EO656" s="3"/>
      <c r="EP656" s="3"/>
      <c r="EQ656" s="3"/>
      <c r="ER656" s="3"/>
      <c r="ES656" s="3"/>
      <c r="ET656" s="3"/>
      <c r="EU656" s="3"/>
      <c r="EV656" s="3"/>
      <c r="EW656" s="3"/>
      <c r="EX656" s="3"/>
      <c r="EY656" s="3"/>
      <c r="EZ656" s="3"/>
      <c r="FA656" s="3"/>
      <c r="FB656" s="3"/>
      <c r="FC656" s="3"/>
      <c r="FD656" s="3"/>
      <c r="FE656" s="3"/>
      <c r="FF656" s="3"/>
      <c r="FG656" s="3"/>
      <c r="FH656" s="3"/>
      <c r="FI656" s="3"/>
      <c r="FJ656" s="3"/>
      <c r="FK656" s="3"/>
      <c r="FL656" s="3"/>
      <c r="FM656" s="3"/>
      <c r="FN656" s="3"/>
      <c r="FO656" s="3"/>
      <c r="FP656" s="3"/>
      <c r="FQ656" s="3"/>
      <c r="FR656" s="3"/>
      <c r="FS656" s="3"/>
      <c r="FT656" s="3"/>
      <c r="FU656" s="3"/>
      <c r="FV656" s="3"/>
      <c r="FW656" s="3"/>
      <c r="FX656" s="3"/>
      <c r="FY656" s="3"/>
      <c r="FZ656" s="3"/>
      <c r="GA656" s="3"/>
      <c r="GB656" s="3"/>
      <c r="GC656" s="3"/>
      <c r="GD656" s="3"/>
      <c r="GE656" s="3"/>
      <c r="GF656" s="3"/>
      <c r="GG656" s="3"/>
      <c r="GH656" s="3"/>
      <c r="GI656" s="3"/>
      <c r="GJ656" s="3"/>
      <c r="GK656" s="3"/>
      <c r="GL656" s="3"/>
      <c r="GM656" s="3"/>
      <c r="GN656" s="3"/>
      <c r="GO656" s="3"/>
      <c r="GP656" s="3"/>
      <c r="GQ656" s="3"/>
      <c r="GR656" s="3"/>
      <c r="GS656" s="3"/>
      <c r="GT656" s="3"/>
      <c r="GU656" s="3"/>
      <c r="GV656" s="3"/>
      <c r="GW656" s="3"/>
      <c r="GX656" s="3">
        <v>0</v>
      </c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201</v>
      </c>
      <c r="F658" s="4">
        <f>ROUND(Source!O656,O658)</f>
        <v>63718.84</v>
      </c>
      <c r="G658" s="4" t="s">
        <v>45</v>
      </c>
      <c r="H658" s="4" t="s">
        <v>46</v>
      </c>
      <c r="I658" s="4"/>
      <c r="J658" s="4"/>
      <c r="K658" s="4">
        <v>201</v>
      </c>
      <c r="L658" s="4">
        <v>1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63718.84</v>
      </c>
      <c r="X658" s="4">
        <v>1</v>
      </c>
      <c r="Y658" s="4">
        <v>63718.84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202</v>
      </c>
      <c r="F659" s="4">
        <f>ROUND(Source!P656,O659)</f>
        <v>367.19</v>
      </c>
      <c r="G659" s="4" t="s">
        <v>47</v>
      </c>
      <c r="H659" s="4" t="s">
        <v>48</v>
      </c>
      <c r="I659" s="4"/>
      <c r="J659" s="4"/>
      <c r="K659" s="4">
        <v>202</v>
      </c>
      <c r="L659" s="4">
        <v>2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367.19</v>
      </c>
      <c r="X659" s="4">
        <v>1</v>
      </c>
      <c r="Y659" s="4">
        <v>367.19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222</v>
      </c>
      <c r="F660" s="4">
        <f>ROUND(Source!AO656,O660)</f>
        <v>0</v>
      </c>
      <c r="G660" s="4" t="s">
        <v>49</v>
      </c>
      <c r="H660" s="4" t="s">
        <v>50</v>
      </c>
      <c r="I660" s="4"/>
      <c r="J660" s="4"/>
      <c r="K660" s="4">
        <v>222</v>
      </c>
      <c r="L660" s="4">
        <v>3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225</v>
      </c>
      <c r="F661" s="4">
        <f>ROUND(Source!AV656,O661)</f>
        <v>367.19</v>
      </c>
      <c r="G661" s="4" t="s">
        <v>51</v>
      </c>
      <c r="H661" s="4" t="s">
        <v>52</v>
      </c>
      <c r="I661" s="4"/>
      <c r="J661" s="4"/>
      <c r="K661" s="4">
        <v>225</v>
      </c>
      <c r="L661" s="4">
        <v>4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367.19</v>
      </c>
      <c r="X661" s="4">
        <v>1</v>
      </c>
      <c r="Y661" s="4">
        <v>367.19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226</v>
      </c>
      <c r="F662" s="4">
        <f>ROUND(Source!AW656,O662)</f>
        <v>367.19</v>
      </c>
      <c r="G662" s="4" t="s">
        <v>53</v>
      </c>
      <c r="H662" s="4" t="s">
        <v>54</v>
      </c>
      <c r="I662" s="4"/>
      <c r="J662" s="4"/>
      <c r="K662" s="4">
        <v>226</v>
      </c>
      <c r="L662" s="4">
        <v>5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367.19</v>
      </c>
      <c r="X662" s="4">
        <v>1</v>
      </c>
      <c r="Y662" s="4">
        <v>367.19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227</v>
      </c>
      <c r="F663" s="4">
        <f>ROUND(Source!AX656,O663)</f>
        <v>0</v>
      </c>
      <c r="G663" s="4" t="s">
        <v>55</v>
      </c>
      <c r="H663" s="4" t="s">
        <v>56</v>
      </c>
      <c r="I663" s="4"/>
      <c r="J663" s="4"/>
      <c r="K663" s="4">
        <v>227</v>
      </c>
      <c r="L663" s="4">
        <v>6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228</v>
      </c>
      <c r="F664" s="4">
        <f>ROUND(Source!AY656,O664)</f>
        <v>367.19</v>
      </c>
      <c r="G664" s="4" t="s">
        <v>57</v>
      </c>
      <c r="H664" s="4" t="s">
        <v>58</v>
      </c>
      <c r="I664" s="4"/>
      <c r="J664" s="4"/>
      <c r="K664" s="4">
        <v>228</v>
      </c>
      <c r="L664" s="4">
        <v>7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367.19</v>
      </c>
      <c r="X664" s="4">
        <v>1</v>
      </c>
      <c r="Y664" s="4">
        <v>367.19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216</v>
      </c>
      <c r="F665" s="4">
        <f>ROUND(Source!AP656,O665)</f>
        <v>0</v>
      </c>
      <c r="G665" s="4" t="s">
        <v>59</v>
      </c>
      <c r="H665" s="4" t="s">
        <v>60</v>
      </c>
      <c r="I665" s="4"/>
      <c r="J665" s="4"/>
      <c r="K665" s="4">
        <v>216</v>
      </c>
      <c r="L665" s="4">
        <v>8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223</v>
      </c>
      <c r="F666" s="4">
        <f>ROUND(Source!AQ656,O666)</f>
        <v>0</v>
      </c>
      <c r="G666" s="4" t="s">
        <v>61</v>
      </c>
      <c r="H666" s="4" t="s">
        <v>62</v>
      </c>
      <c r="I666" s="4"/>
      <c r="J666" s="4"/>
      <c r="K666" s="4">
        <v>223</v>
      </c>
      <c r="L666" s="4">
        <v>9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229</v>
      </c>
      <c r="F667" s="4">
        <f>ROUND(Source!AZ656,O667)</f>
        <v>0</v>
      </c>
      <c r="G667" s="4" t="s">
        <v>63</v>
      </c>
      <c r="H667" s="4" t="s">
        <v>64</v>
      </c>
      <c r="I667" s="4"/>
      <c r="J667" s="4"/>
      <c r="K667" s="4">
        <v>229</v>
      </c>
      <c r="L667" s="4">
        <v>10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203</v>
      </c>
      <c r="F668" s="4">
        <f>ROUND(Source!Q656,O668)</f>
        <v>273.63</v>
      </c>
      <c r="G668" s="4" t="s">
        <v>65</v>
      </c>
      <c r="H668" s="4" t="s">
        <v>66</v>
      </c>
      <c r="I668" s="4"/>
      <c r="J668" s="4"/>
      <c r="K668" s="4">
        <v>203</v>
      </c>
      <c r="L668" s="4">
        <v>11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273.63</v>
      </c>
      <c r="X668" s="4">
        <v>1</v>
      </c>
      <c r="Y668" s="4">
        <v>273.63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231</v>
      </c>
      <c r="F669" s="4">
        <f>ROUND(Source!BB656,O669)</f>
        <v>0</v>
      </c>
      <c r="G669" s="4" t="s">
        <v>67</v>
      </c>
      <c r="H669" s="4" t="s">
        <v>68</v>
      </c>
      <c r="I669" s="4"/>
      <c r="J669" s="4"/>
      <c r="K669" s="4">
        <v>231</v>
      </c>
      <c r="L669" s="4">
        <v>12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204</v>
      </c>
      <c r="F670" s="4">
        <f>ROUND(Source!R656,O670)</f>
        <v>173.5</v>
      </c>
      <c r="G670" s="4" t="s">
        <v>69</v>
      </c>
      <c r="H670" s="4" t="s">
        <v>70</v>
      </c>
      <c r="I670" s="4"/>
      <c r="J670" s="4"/>
      <c r="K670" s="4">
        <v>204</v>
      </c>
      <c r="L670" s="4">
        <v>13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173.5</v>
      </c>
      <c r="X670" s="4">
        <v>1</v>
      </c>
      <c r="Y670" s="4">
        <v>173.5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205</v>
      </c>
      <c r="F671" s="4">
        <f>ROUND(Source!S656,O671)</f>
        <v>63078.02</v>
      </c>
      <c r="G671" s="4" t="s">
        <v>71</v>
      </c>
      <c r="H671" s="4" t="s">
        <v>72</v>
      </c>
      <c r="I671" s="4"/>
      <c r="J671" s="4"/>
      <c r="K671" s="4">
        <v>205</v>
      </c>
      <c r="L671" s="4">
        <v>14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63078.02</v>
      </c>
      <c r="X671" s="4">
        <v>1</v>
      </c>
      <c r="Y671" s="4">
        <v>63078.02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232</v>
      </c>
      <c r="F672" s="4">
        <f>ROUND(Source!BC656,O672)</f>
        <v>0</v>
      </c>
      <c r="G672" s="4" t="s">
        <v>73</v>
      </c>
      <c r="H672" s="4" t="s">
        <v>74</v>
      </c>
      <c r="I672" s="4"/>
      <c r="J672" s="4"/>
      <c r="K672" s="4">
        <v>232</v>
      </c>
      <c r="L672" s="4">
        <v>15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214</v>
      </c>
      <c r="F673" s="4">
        <f>ROUND(Source!AS656,O673)</f>
        <v>0</v>
      </c>
      <c r="G673" s="4" t="s">
        <v>75</v>
      </c>
      <c r="H673" s="4" t="s">
        <v>76</v>
      </c>
      <c r="I673" s="4"/>
      <c r="J673" s="4"/>
      <c r="K673" s="4">
        <v>214</v>
      </c>
      <c r="L673" s="4">
        <v>16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215</v>
      </c>
      <c r="F674" s="4">
        <f>ROUND(Source!AT656,O674)</f>
        <v>0</v>
      </c>
      <c r="G674" s="4" t="s">
        <v>77</v>
      </c>
      <c r="H674" s="4" t="s">
        <v>78</v>
      </c>
      <c r="I674" s="4"/>
      <c r="J674" s="4"/>
      <c r="K674" s="4">
        <v>215</v>
      </c>
      <c r="L674" s="4">
        <v>17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217</v>
      </c>
      <c r="F675" s="4">
        <f>ROUND(Source!AU656,O675)</f>
        <v>114368.65</v>
      </c>
      <c r="G675" s="4" t="s">
        <v>79</v>
      </c>
      <c r="H675" s="4" t="s">
        <v>80</v>
      </c>
      <c r="I675" s="4"/>
      <c r="J675" s="4"/>
      <c r="K675" s="4">
        <v>217</v>
      </c>
      <c r="L675" s="4">
        <v>18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114368.65</v>
      </c>
      <c r="X675" s="4">
        <v>1</v>
      </c>
      <c r="Y675" s="4">
        <v>114368.65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230</v>
      </c>
      <c r="F676" s="4">
        <f>ROUND(Source!BA656,O676)</f>
        <v>0</v>
      </c>
      <c r="G676" s="4" t="s">
        <v>81</v>
      </c>
      <c r="H676" s="4" t="s">
        <v>82</v>
      </c>
      <c r="I676" s="4"/>
      <c r="J676" s="4"/>
      <c r="K676" s="4">
        <v>230</v>
      </c>
      <c r="L676" s="4">
        <v>19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206</v>
      </c>
      <c r="F677" s="4">
        <f>ROUND(Source!T656,O677)</f>
        <v>0</v>
      </c>
      <c r="G677" s="4" t="s">
        <v>83</v>
      </c>
      <c r="H677" s="4" t="s">
        <v>84</v>
      </c>
      <c r="I677" s="4"/>
      <c r="J677" s="4"/>
      <c r="K677" s="4">
        <v>206</v>
      </c>
      <c r="L677" s="4">
        <v>20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207</v>
      </c>
      <c r="F678" s="4">
        <f>Source!U656</f>
        <v>90.271000000000001</v>
      </c>
      <c r="G678" s="4" t="s">
        <v>85</v>
      </c>
      <c r="H678" s="4" t="s">
        <v>86</v>
      </c>
      <c r="I678" s="4"/>
      <c r="J678" s="4"/>
      <c r="K678" s="4">
        <v>207</v>
      </c>
      <c r="L678" s="4">
        <v>21</v>
      </c>
      <c r="M678" s="4">
        <v>3</v>
      </c>
      <c r="N678" s="4" t="s">
        <v>3</v>
      </c>
      <c r="O678" s="4">
        <v>-1</v>
      </c>
      <c r="P678" s="4"/>
      <c r="Q678" s="4"/>
      <c r="R678" s="4"/>
      <c r="S678" s="4"/>
      <c r="T678" s="4"/>
      <c r="U678" s="4"/>
      <c r="V678" s="4"/>
      <c r="W678" s="4">
        <v>90.271000000000001</v>
      </c>
      <c r="X678" s="4">
        <v>1</v>
      </c>
      <c r="Y678" s="4">
        <v>90.271000000000001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208</v>
      </c>
      <c r="F679" s="4">
        <f>Source!V656</f>
        <v>0</v>
      </c>
      <c r="G679" s="4" t="s">
        <v>87</v>
      </c>
      <c r="H679" s="4" t="s">
        <v>88</v>
      </c>
      <c r="I679" s="4"/>
      <c r="J679" s="4"/>
      <c r="K679" s="4">
        <v>208</v>
      </c>
      <c r="L679" s="4">
        <v>22</v>
      </c>
      <c r="M679" s="4">
        <v>3</v>
      </c>
      <c r="N679" s="4" t="s">
        <v>3</v>
      </c>
      <c r="O679" s="4">
        <v>-1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209</v>
      </c>
      <c r="F680" s="4">
        <f>ROUND(Source!W656,O680)</f>
        <v>0</v>
      </c>
      <c r="G680" s="4" t="s">
        <v>89</v>
      </c>
      <c r="H680" s="4" t="s">
        <v>90</v>
      </c>
      <c r="I680" s="4"/>
      <c r="J680" s="4"/>
      <c r="K680" s="4">
        <v>209</v>
      </c>
      <c r="L680" s="4">
        <v>23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233</v>
      </c>
      <c r="F681" s="4">
        <f>ROUND(Source!BD656,O681)</f>
        <v>0</v>
      </c>
      <c r="G681" s="4" t="s">
        <v>91</v>
      </c>
      <c r="H681" s="4" t="s">
        <v>92</v>
      </c>
      <c r="I681" s="4"/>
      <c r="J681" s="4"/>
      <c r="K681" s="4">
        <v>233</v>
      </c>
      <c r="L681" s="4">
        <v>24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210</v>
      </c>
      <c r="F682" s="4">
        <f>ROUND(Source!X656,O682)</f>
        <v>44154.62</v>
      </c>
      <c r="G682" s="4" t="s">
        <v>93</v>
      </c>
      <c r="H682" s="4" t="s">
        <v>94</v>
      </c>
      <c r="I682" s="4"/>
      <c r="J682" s="4"/>
      <c r="K682" s="4">
        <v>210</v>
      </c>
      <c r="L682" s="4">
        <v>25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44154.62</v>
      </c>
      <c r="X682" s="4">
        <v>1</v>
      </c>
      <c r="Y682" s="4">
        <v>44154.62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211</v>
      </c>
      <c r="F683" s="4">
        <f>ROUND(Source!Y656,O683)</f>
        <v>6307.81</v>
      </c>
      <c r="G683" s="4" t="s">
        <v>95</v>
      </c>
      <c r="H683" s="4" t="s">
        <v>96</v>
      </c>
      <c r="I683" s="4"/>
      <c r="J683" s="4"/>
      <c r="K683" s="4">
        <v>211</v>
      </c>
      <c r="L683" s="4">
        <v>26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6307.81</v>
      </c>
      <c r="X683" s="4">
        <v>1</v>
      </c>
      <c r="Y683" s="4">
        <v>6307.81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224</v>
      </c>
      <c r="F684" s="4">
        <f>ROUND(Source!AR656,O684)</f>
        <v>114368.65</v>
      </c>
      <c r="G684" s="4" t="s">
        <v>97</v>
      </c>
      <c r="H684" s="4" t="s">
        <v>98</v>
      </c>
      <c r="I684" s="4"/>
      <c r="J684" s="4"/>
      <c r="K684" s="4">
        <v>224</v>
      </c>
      <c r="L684" s="4">
        <v>27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114368.65</v>
      </c>
      <c r="X684" s="4">
        <v>1</v>
      </c>
      <c r="Y684" s="4">
        <v>114368.65</v>
      </c>
      <c r="Z684" s="4"/>
      <c r="AA684" s="4"/>
      <c r="AB684" s="4"/>
    </row>
    <row r="686" spans="1:206" x14ac:dyDescent="0.2">
      <c r="A686" s="2">
        <v>51</v>
      </c>
      <c r="B686" s="2">
        <f>B594</f>
        <v>1</v>
      </c>
      <c r="C686" s="2">
        <f>A594</f>
        <v>4</v>
      </c>
      <c r="D686" s="2">
        <f>ROW(A594)</f>
        <v>594</v>
      </c>
      <c r="E686" s="2"/>
      <c r="F686" s="2" t="str">
        <f>IF(F594&lt;&gt;"",F594,"")</f>
        <v>Новый раздел</v>
      </c>
      <c r="G686" s="2" t="str">
        <f>IF(G594&lt;&gt;"",G594,"")</f>
        <v>Раздел: 5. Автоматизация комплексная</v>
      </c>
      <c r="H686" s="2">
        <v>0</v>
      </c>
      <c r="I686" s="2"/>
      <c r="J686" s="2"/>
      <c r="K686" s="2"/>
      <c r="L686" s="2"/>
      <c r="M686" s="2"/>
      <c r="N686" s="2"/>
      <c r="O686" s="2">
        <f t="shared" ref="O686:T686" si="575">ROUND(O608+O656+AB686,2)</f>
        <v>79099.42</v>
      </c>
      <c r="P686" s="2">
        <f t="shared" si="575"/>
        <v>397.01</v>
      </c>
      <c r="Q686" s="2">
        <f t="shared" si="575"/>
        <v>273.63</v>
      </c>
      <c r="R686" s="2">
        <f t="shared" si="575"/>
        <v>173.5</v>
      </c>
      <c r="S686" s="2">
        <f t="shared" si="575"/>
        <v>78428.78</v>
      </c>
      <c r="T686" s="2">
        <f t="shared" si="575"/>
        <v>0</v>
      </c>
      <c r="U686" s="2">
        <f>U608+U656+AH686</f>
        <v>111.931</v>
      </c>
      <c r="V686" s="2">
        <f>V608+V656+AI686</f>
        <v>0</v>
      </c>
      <c r="W686" s="2">
        <f>ROUND(W608+W656+AJ686,2)</f>
        <v>0</v>
      </c>
      <c r="X686" s="2">
        <f>ROUND(X608+X656+AK686,2)</f>
        <v>54900.160000000003</v>
      </c>
      <c r="Y686" s="2">
        <f>ROUND(Y608+Y656+AL686,2)</f>
        <v>7842.88</v>
      </c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>
        <f t="shared" ref="AO686:BD686" si="576">ROUND(AO608+AO656+BX686,2)</f>
        <v>0</v>
      </c>
      <c r="AP686" s="2">
        <f t="shared" si="576"/>
        <v>0</v>
      </c>
      <c r="AQ686" s="2">
        <f t="shared" si="576"/>
        <v>0</v>
      </c>
      <c r="AR686" s="2">
        <f t="shared" si="576"/>
        <v>142029.84</v>
      </c>
      <c r="AS686" s="2">
        <f t="shared" si="576"/>
        <v>0</v>
      </c>
      <c r="AT686" s="2">
        <f t="shared" si="576"/>
        <v>0</v>
      </c>
      <c r="AU686" s="2">
        <f t="shared" si="576"/>
        <v>142029.84</v>
      </c>
      <c r="AV686" s="2">
        <f t="shared" si="576"/>
        <v>397.01</v>
      </c>
      <c r="AW686" s="2">
        <f t="shared" si="576"/>
        <v>397.01</v>
      </c>
      <c r="AX686" s="2">
        <f t="shared" si="576"/>
        <v>0</v>
      </c>
      <c r="AY686" s="2">
        <f t="shared" si="576"/>
        <v>397.01</v>
      </c>
      <c r="AZ686" s="2">
        <f t="shared" si="576"/>
        <v>0</v>
      </c>
      <c r="BA686" s="2">
        <f t="shared" si="576"/>
        <v>0</v>
      </c>
      <c r="BB686" s="2">
        <f t="shared" si="576"/>
        <v>0</v>
      </c>
      <c r="BC686" s="2">
        <f t="shared" si="576"/>
        <v>0</v>
      </c>
      <c r="BD686" s="2">
        <f t="shared" si="576"/>
        <v>0</v>
      </c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3"/>
      <c r="DH686" s="3"/>
      <c r="DI686" s="3"/>
      <c r="DJ686" s="3"/>
      <c r="DK686" s="3"/>
      <c r="DL686" s="3"/>
      <c r="DM686" s="3"/>
      <c r="DN686" s="3"/>
      <c r="DO686" s="3"/>
      <c r="DP686" s="3"/>
      <c r="DQ686" s="3"/>
      <c r="DR686" s="3"/>
      <c r="DS686" s="3"/>
      <c r="DT686" s="3"/>
      <c r="DU686" s="3"/>
      <c r="DV686" s="3"/>
      <c r="DW686" s="3"/>
      <c r="DX686" s="3"/>
      <c r="DY686" s="3"/>
      <c r="DZ686" s="3"/>
      <c r="EA686" s="3"/>
      <c r="EB686" s="3"/>
      <c r="EC686" s="3"/>
      <c r="ED686" s="3"/>
      <c r="EE686" s="3"/>
      <c r="EF686" s="3"/>
      <c r="EG686" s="3"/>
      <c r="EH686" s="3"/>
      <c r="EI686" s="3"/>
      <c r="EJ686" s="3"/>
      <c r="EK686" s="3"/>
      <c r="EL686" s="3"/>
      <c r="EM686" s="3"/>
      <c r="EN686" s="3"/>
      <c r="EO686" s="3"/>
      <c r="EP686" s="3"/>
      <c r="EQ686" s="3"/>
      <c r="ER686" s="3"/>
      <c r="ES686" s="3"/>
      <c r="ET686" s="3"/>
      <c r="EU686" s="3"/>
      <c r="EV686" s="3"/>
      <c r="EW686" s="3"/>
      <c r="EX686" s="3"/>
      <c r="EY686" s="3"/>
      <c r="EZ686" s="3"/>
      <c r="FA686" s="3"/>
      <c r="FB686" s="3"/>
      <c r="FC686" s="3"/>
      <c r="FD686" s="3"/>
      <c r="FE686" s="3"/>
      <c r="FF686" s="3"/>
      <c r="FG686" s="3"/>
      <c r="FH686" s="3"/>
      <c r="FI686" s="3"/>
      <c r="FJ686" s="3"/>
      <c r="FK686" s="3"/>
      <c r="FL686" s="3"/>
      <c r="FM686" s="3"/>
      <c r="FN686" s="3"/>
      <c r="FO686" s="3"/>
      <c r="FP686" s="3"/>
      <c r="FQ686" s="3"/>
      <c r="FR686" s="3"/>
      <c r="FS686" s="3"/>
      <c r="FT686" s="3"/>
      <c r="FU686" s="3"/>
      <c r="FV686" s="3"/>
      <c r="FW686" s="3"/>
      <c r="FX686" s="3"/>
      <c r="FY686" s="3"/>
      <c r="FZ686" s="3"/>
      <c r="GA686" s="3"/>
      <c r="GB686" s="3"/>
      <c r="GC686" s="3"/>
      <c r="GD686" s="3"/>
      <c r="GE686" s="3"/>
      <c r="GF686" s="3"/>
      <c r="GG686" s="3"/>
      <c r="GH686" s="3"/>
      <c r="GI686" s="3"/>
      <c r="GJ686" s="3"/>
      <c r="GK686" s="3"/>
      <c r="GL686" s="3"/>
      <c r="GM686" s="3"/>
      <c r="GN686" s="3"/>
      <c r="GO686" s="3"/>
      <c r="GP686" s="3"/>
      <c r="GQ686" s="3"/>
      <c r="GR686" s="3"/>
      <c r="GS686" s="3"/>
      <c r="GT686" s="3"/>
      <c r="GU686" s="3"/>
      <c r="GV686" s="3"/>
      <c r="GW686" s="3"/>
      <c r="GX686" s="3">
        <v>0</v>
      </c>
    </row>
    <row r="688" spans="1:206" x14ac:dyDescent="0.2">
      <c r="A688" s="4">
        <v>50</v>
      </c>
      <c r="B688" s="4">
        <v>0</v>
      </c>
      <c r="C688" s="4">
        <v>0</v>
      </c>
      <c r="D688" s="4">
        <v>1</v>
      </c>
      <c r="E688" s="4">
        <v>201</v>
      </c>
      <c r="F688" s="4">
        <f>ROUND(Source!O686,O688)</f>
        <v>79099.42</v>
      </c>
      <c r="G688" s="4" t="s">
        <v>45</v>
      </c>
      <c r="H688" s="4" t="s">
        <v>46</v>
      </c>
      <c r="I688" s="4"/>
      <c r="J688" s="4"/>
      <c r="K688" s="4">
        <v>201</v>
      </c>
      <c r="L688" s="4">
        <v>1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79099.42</v>
      </c>
      <c r="X688" s="4">
        <v>1</v>
      </c>
      <c r="Y688" s="4">
        <v>79099.42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202</v>
      </c>
      <c r="F689" s="4">
        <f>ROUND(Source!P686,O689)</f>
        <v>397.01</v>
      </c>
      <c r="G689" s="4" t="s">
        <v>47</v>
      </c>
      <c r="H689" s="4" t="s">
        <v>48</v>
      </c>
      <c r="I689" s="4"/>
      <c r="J689" s="4"/>
      <c r="K689" s="4">
        <v>202</v>
      </c>
      <c r="L689" s="4">
        <v>2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397.01</v>
      </c>
      <c r="X689" s="4">
        <v>1</v>
      </c>
      <c r="Y689" s="4">
        <v>397.01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222</v>
      </c>
      <c r="F690" s="4">
        <f>ROUND(Source!AO686,O690)</f>
        <v>0</v>
      </c>
      <c r="G690" s="4" t="s">
        <v>49</v>
      </c>
      <c r="H690" s="4" t="s">
        <v>50</v>
      </c>
      <c r="I690" s="4"/>
      <c r="J690" s="4"/>
      <c r="K690" s="4">
        <v>222</v>
      </c>
      <c r="L690" s="4">
        <v>3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225</v>
      </c>
      <c r="F691" s="4">
        <f>ROUND(Source!AV686,O691)</f>
        <v>397.01</v>
      </c>
      <c r="G691" s="4" t="s">
        <v>51</v>
      </c>
      <c r="H691" s="4" t="s">
        <v>52</v>
      </c>
      <c r="I691" s="4"/>
      <c r="J691" s="4"/>
      <c r="K691" s="4">
        <v>225</v>
      </c>
      <c r="L691" s="4">
        <v>4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397.01</v>
      </c>
      <c r="X691" s="4">
        <v>1</v>
      </c>
      <c r="Y691" s="4">
        <v>397.01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226</v>
      </c>
      <c r="F692" s="4">
        <f>ROUND(Source!AW686,O692)</f>
        <v>397.01</v>
      </c>
      <c r="G692" s="4" t="s">
        <v>53</v>
      </c>
      <c r="H692" s="4" t="s">
        <v>54</v>
      </c>
      <c r="I692" s="4"/>
      <c r="J692" s="4"/>
      <c r="K692" s="4">
        <v>226</v>
      </c>
      <c r="L692" s="4">
        <v>5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397.01</v>
      </c>
      <c r="X692" s="4">
        <v>1</v>
      </c>
      <c r="Y692" s="4">
        <v>397.01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227</v>
      </c>
      <c r="F693" s="4">
        <f>ROUND(Source!AX686,O693)</f>
        <v>0</v>
      </c>
      <c r="G693" s="4" t="s">
        <v>55</v>
      </c>
      <c r="H693" s="4" t="s">
        <v>56</v>
      </c>
      <c r="I693" s="4"/>
      <c r="J693" s="4"/>
      <c r="K693" s="4">
        <v>227</v>
      </c>
      <c r="L693" s="4">
        <v>6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228</v>
      </c>
      <c r="F694" s="4">
        <f>ROUND(Source!AY686,O694)</f>
        <v>397.01</v>
      </c>
      <c r="G694" s="4" t="s">
        <v>57</v>
      </c>
      <c r="H694" s="4" t="s">
        <v>58</v>
      </c>
      <c r="I694" s="4"/>
      <c r="J694" s="4"/>
      <c r="K694" s="4">
        <v>228</v>
      </c>
      <c r="L694" s="4">
        <v>7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397.01</v>
      </c>
      <c r="X694" s="4">
        <v>1</v>
      </c>
      <c r="Y694" s="4">
        <v>397.01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216</v>
      </c>
      <c r="F695" s="4">
        <f>ROUND(Source!AP686,O695)</f>
        <v>0</v>
      </c>
      <c r="G695" s="4" t="s">
        <v>59</v>
      </c>
      <c r="H695" s="4" t="s">
        <v>60</v>
      </c>
      <c r="I695" s="4"/>
      <c r="J695" s="4"/>
      <c r="K695" s="4">
        <v>216</v>
      </c>
      <c r="L695" s="4">
        <v>8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223</v>
      </c>
      <c r="F696" s="4">
        <f>ROUND(Source!AQ686,O696)</f>
        <v>0</v>
      </c>
      <c r="G696" s="4" t="s">
        <v>61</v>
      </c>
      <c r="H696" s="4" t="s">
        <v>62</v>
      </c>
      <c r="I696" s="4"/>
      <c r="J696" s="4"/>
      <c r="K696" s="4">
        <v>223</v>
      </c>
      <c r="L696" s="4">
        <v>9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229</v>
      </c>
      <c r="F697" s="4">
        <f>ROUND(Source!AZ686,O697)</f>
        <v>0</v>
      </c>
      <c r="G697" s="4" t="s">
        <v>63</v>
      </c>
      <c r="H697" s="4" t="s">
        <v>64</v>
      </c>
      <c r="I697" s="4"/>
      <c r="J697" s="4"/>
      <c r="K697" s="4">
        <v>229</v>
      </c>
      <c r="L697" s="4">
        <v>10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203</v>
      </c>
      <c r="F698" s="4">
        <f>ROUND(Source!Q686,O698)</f>
        <v>273.63</v>
      </c>
      <c r="G698" s="4" t="s">
        <v>65</v>
      </c>
      <c r="H698" s="4" t="s">
        <v>66</v>
      </c>
      <c r="I698" s="4"/>
      <c r="J698" s="4"/>
      <c r="K698" s="4">
        <v>203</v>
      </c>
      <c r="L698" s="4">
        <v>11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273.63</v>
      </c>
      <c r="X698" s="4">
        <v>1</v>
      </c>
      <c r="Y698" s="4">
        <v>273.63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231</v>
      </c>
      <c r="F699" s="4">
        <f>ROUND(Source!BB686,O699)</f>
        <v>0</v>
      </c>
      <c r="G699" s="4" t="s">
        <v>67</v>
      </c>
      <c r="H699" s="4" t="s">
        <v>68</v>
      </c>
      <c r="I699" s="4"/>
      <c r="J699" s="4"/>
      <c r="K699" s="4">
        <v>231</v>
      </c>
      <c r="L699" s="4">
        <v>12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204</v>
      </c>
      <c r="F700" s="4">
        <f>ROUND(Source!R686,O700)</f>
        <v>173.5</v>
      </c>
      <c r="G700" s="4" t="s">
        <v>69</v>
      </c>
      <c r="H700" s="4" t="s">
        <v>70</v>
      </c>
      <c r="I700" s="4"/>
      <c r="J700" s="4"/>
      <c r="K700" s="4">
        <v>204</v>
      </c>
      <c r="L700" s="4">
        <v>13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173.5</v>
      </c>
      <c r="X700" s="4">
        <v>1</v>
      </c>
      <c r="Y700" s="4">
        <v>173.5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205</v>
      </c>
      <c r="F701" s="4">
        <f>ROUND(Source!S686,O701)</f>
        <v>78428.78</v>
      </c>
      <c r="G701" s="4" t="s">
        <v>71</v>
      </c>
      <c r="H701" s="4" t="s">
        <v>72</v>
      </c>
      <c r="I701" s="4"/>
      <c r="J701" s="4"/>
      <c r="K701" s="4">
        <v>205</v>
      </c>
      <c r="L701" s="4">
        <v>14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78428.78</v>
      </c>
      <c r="X701" s="4">
        <v>1</v>
      </c>
      <c r="Y701" s="4">
        <v>78428.78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232</v>
      </c>
      <c r="F702" s="4">
        <f>ROUND(Source!BC686,O702)</f>
        <v>0</v>
      </c>
      <c r="G702" s="4" t="s">
        <v>73</v>
      </c>
      <c r="H702" s="4" t="s">
        <v>74</v>
      </c>
      <c r="I702" s="4"/>
      <c r="J702" s="4"/>
      <c r="K702" s="4">
        <v>232</v>
      </c>
      <c r="L702" s="4">
        <v>15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214</v>
      </c>
      <c r="F703" s="4">
        <f>ROUND(Source!AS686,O703)</f>
        <v>0</v>
      </c>
      <c r="G703" s="4" t="s">
        <v>75</v>
      </c>
      <c r="H703" s="4" t="s">
        <v>76</v>
      </c>
      <c r="I703" s="4"/>
      <c r="J703" s="4"/>
      <c r="K703" s="4">
        <v>214</v>
      </c>
      <c r="L703" s="4">
        <v>16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215</v>
      </c>
      <c r="F704" s="4">
        <f>ROUND(Source!AT686,O704)</f>
        <v>0</v>
      </c>
      <c r="G704" s="4" t="s">
        <v>77</v>
      </c>
      <c r="H704" s="4" t="s">
        <v>78</v>
      </c>
      <c r="I704" s="4"/>
      <c r="J704" s="4"/>
      <c r="K704" s="4">
        <v>215</v>
      </c>
      <c r="L704" s="4">
        <v>17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06" x14ac:dyDescent="0.2">
      <c r="A705" s="4">
        <v>50</v>
      </c>
      <c r="B705" s="4">
        <v>0</v>
      </c>
      <c r="C705" s="4">
        <v>0</v>
      </c>
      <c r="D705" s="4">
        <v>1</v>
      </c>
      <c r="E705" s="4">
        <v>217</v>
      </c>
      <c r="F705" s="4">
        <f>ROUND(Source!AU686,O705)</f>
        <v>142029.84</v>
      </c>
      <c r="G705" s="4" t="s">
        <v>79</v>
      </c>
      <c r="H705" s="4" t="s">
        <v>80</v>
      </c>
      <c r="I705" s="4"/>
      <c r="J705" s="4"/>
      <c r="K705" s="4">
        <v>217</v>
      </c>
      <c r="L705" s="4">
        <v>18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142029.84</v>
      </c>
      <c r="X705" s="4">
        <v>1</v>
      </c>
      <c r="Y705" s="4">
        <v>142029.84</v>
      </c>
      <c r="Z705" s="4"/>
      <c r="AA705" s="4"/>
      <c r="AB705" s="4"/>
    </row>
    <row r="706" spans="1:206" x14ac:dyDescent="0.2">
      <c r="A706" s="4">
        <v>50</v>
      </c>
      <c r="B706" s="4">
        <v>0</v>
      </c>
      <c r="C706" s="4">
        <v>0</v>
      </c>
      <c r="D706" s="4">
        <v>1</v>
      </c>
      <c r="E706" s="4">
        <v>230</v>
      </c>
      <c r="F706" s="4">
        <f>ROUND(Source!BA686,O706)</f>
        <v>0</v>
      </c>
      <c r="G706" s="4" t="s">
        <v>81</v>
      </c>
      <c r="H706" s="4" t="s">
        <v>82</v>
      </c>
      <c r="I706" s="4"/>
      <c r="J706" s="4"/>
      <c r="K706" s="4">
        <v>230</v>
      </c>
      <c r="L706" s="4">
        <v>19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06" x14ac:dyDescent="0.2">
      <c r="A707" s="4">
        <v>50</v>
      </c>
      <c r="B707" s="4">
        <v>0</v>
      </c>
      <c r="C707" s="4">
        <v>0</v>
      </c>
      <c r="D707" s="4">
        <v>1</v>
      </c>
      <c r="E707" s="4">
        <v>206</v>
      </c>
      <c r="F707" s="4">
        <f>ROUND(Source!T686,O707)</f>
        <v>0</v>
      </c>
      <c r="G707" s="4" t="s">
        <v>83</v>
      </c>
      <c r="H707" s="4" t="s">
        <v>84</v>
      </c>
      <c r="I707" s="4"/>
      <c r="J707" s="4"/>
      <c r="K707" s="4">
        <v>206</v>
      </c>
      <c r="L707" s="4">
        <v>20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06" x14ac:dyDescent="0.2">
      <c r="A708" s="4">
        <v>50</v>
      </c>
      <c r="B708" s="4">
        <v>0</v>
      </c>
      <c r="C708" s="4">
        <v>0</v>
      </c>
      <c r="D708" s="4">
        <v>1</v>
      </c>
      <c r="E708" s="4">
        <v>207</v>
      </c>
      <c r="F708" s="4">
        <f>Source!U686</f>
        <v>111.931</v>
      </c>
      <c r="G708" s="4" t="s">
        <v>85</v>
      </c>
      <c r="H708" s="4" t="s">
        <v>86</v>
      </c>
      <c r="I708" s="4"/>
      <c r="J708" s="4"/>
      <c r="K708" s="4">
        <v>207</v>
      </c>
      <c r="L708" s="4">
        <v>21</v>
      </c>
      <c r="M708" s="4">
        <v>3</v>
      </c>
      <c r="N708" s="4" t="s">
        <v>3</v>
      </c>
      <c r="O708" s="4">
        <v>-1</v>
      </c>
      <c r="P708" s="4"/>
      <c r="Q708" s="4"/>
      <c r="R708" s="4"/>
      <c r="S708" s="4"/>
      <c r="T708" s="4"/>
      <c r="U708" s="4"/>
      <c r="V708" s="4"/>
      <c r="W708" s="4">
        <v>111.93099999999998</v>
      </c>
      <c r="X708" s="4">
        <v>1</v>
      </c>
      <c r="Y708" s="4">
        <v>111.93099999999998</v>
      </c>
      <c r="Z708" s="4"/>
      <c r="AA708" s="4"/>
      <c r="AB708" s="4"/>
    </row>
    <row r="709" spans="1:206" x14ac:dyDescent="0.2">
      <c r="A709" s="4">
        <v>50</v>
      </c>
      <c r="B709" s="4">
        <v>0</v>
      </c>
      <c r="C709" s="4">
        <v>0</v>
      </c>
      <c r="D709" s="4">
        <v>1</v>
      </c>
      <c r="E709" s="4">
        <v>208</v>
      </c>
      <c r="F709" s="4">
        <f>Source!V686</f>
        <v>0</v>
      </c>
      <c r="G709" s="4" t="s">
        <v>87</v>
      </c>
      <c r="H709" s="4" t="s">
        <v>88</v>
      </c>
      <c r="I709" s="4"/>
      <c r="J709" s="4"/>
      <c r="K709" s="4">
        <v>208</v>
      </c>
      <c r="L709" s="4">
        <v>22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06" x14ac:dyDescent="0.2">
      <c r="A710" s="4">
        <v>50</v>
      </c>
      <c r="B710" s="4">
        <v>0</v>
      </c>
      <c r="C710" s="4">
        <v>0</v>
      </c>
      <c r="D710" s="4">
        <v>1</v>
      </c>
      <c r="E710" s="4">
        <v>209</v>
      </c>
      <c r="F710" s="4">
        <f>ROUND(Source!W686,O710)</f>
        <v>0</v>
      </c>
      <c r="G710" s="4" t="s">
        <v>89</v>
      </c>
      <c r="H710" s="4" t="s">
        <v>90</v>
      </c>
      <c r="I710" s="4"/>
      <c r="J710" s="4"/>
      <c r="K710" s="4">
        <v>209</v>
      </c>
      <c r="L710" s="4">
        <v>23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06" x14ac:dyDescent="0.2">
      <c r="A711" s="4">
        <v>50</v>
      </c>
      <c r="B711" s="4">
        <v>0</v>
      </c>
      <c r="C711" s="4">
        <v>0</v>
      </c>
      <c r="D711" s="4">
        <v>1</v>
      </c>
      <c r="E711" s="4">
        <v>233</v>
      </c>
      <c r="F711" s="4">
        <f>ROUND(Source!BD686,O711)</f>
        <v>0</v>
      </c>
      <c r="G711" s="4" t="s">
        <v>91</v>
      </c>
      <c r="H711" s="4" t="s">
        <v>92</v>
      </c>
      <c r="I711" s="4"/>
      <c r="J711" s="4"/>
      <c r="K711" s="4">
        <v>233</v>
      </c>
      <c r="L711" s="4">
        <v>24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06" x14ac:dyDescent="0.2">
      <c r="A712" s="4">
        <v>50</v>
      </c>
      <c r="B712" s="4">
        <v>0</v>
      </c>
      <c r="C712" s="4">
        <v>0</v>
      </c>
      <c r="D712" s="4">
        <v>1</v>
      </c>
      <c r="E712" s="4">
        <v>210</v>
      </c>
      <c r="F712" s="4">
        <f>ROUND(Source!X686,O712)</f>
        <v>54900.160000000003</v>
      </c>
      <c r="G712" s="4" t="s">
        <v>93</v>
      </c>
      <c r="H712" s="4" t="s">
        <v>94</v>
      </c>
      <c r="I712" s="4"/>
      <c r="J712" s="4"/>
      <c r="K712" s="4">
        <v>210</v>
      </c>
      <c r="L712" s="4">
        <v>25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54900.160000000003</v>
      </c>
      <c r="X712" s="4">
        <v>1</v>
      </c>
      <c r="Y712" s="4">
        <v>54900.160000000003</v>
      </c>
      <c r="Z712" s="4"/>
      <c r="AA712" s="4"/>
      <c r="AB712" s="4"/>
    </row>
    <row r="713" spans="1:206" x14ac:dyDescent="0.2">
      <c r="A713" s="4">
        <v>50</v>
      </c>
      <c r="B713" s="4">
        <v>0</v>
      </c>
      <c r="C713" s="4">
        <v>0</v>
      </c>
      <c r="D713" s="4">
        <v>1</v>
      </c>
      <c r="E713" s="4">
        <v>211</v>
      </c>
      <c r="F713" s="4">
        <f>ROUND(Source!Y686,O713)</f>
        <v>7842.88</v>
      </c>
      <c r="G713" s="4" t="s">
        <v>95</v>
      </c>
      <c r="H713" s="4" t="s">
        <v>96</v>
      </c>
      <c r="I713" s="4"/>
      <c r="J713" s="4"/>
      <c r="K713" s="4">
        <v>211</v>
      </c>
      <c r="L713" s="4">
        <v>26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7842.88</v>
      </c>
      <c r="X713" s="4">
        <v>1</v>
      </c>
      <c r="Y713" s="4">
        <v>7842.88</v>
      </c>
      <c r="Z713" s="4"/>
      <c r="AA713" s="4"/>
      <c r="AB713" s="4"/>
    </row>
    <row r="714" spans="1:206" x14ac:dyDescent="0.2">
      <c r="A714" s="4">
        <v>50</v>
      </c>
      <c r="B714" s="4">
        <v>0</v>
      </c>
      <c r="C714" s="4">
        <v>0</v>
      </c>
      <c r="D714" s="4">
        <v>1</v>
      </c>
      <c r="E714" s="4">
        <v>224</v>
      </c>
      <c r="F714" s="4">
        <f>ROUND(Source!AR686,O714)</f>
        <v>142029.84</v>
      </c>
      <c r="G714" s="4" t="s">
        <v>97</v>
      </c>
      <c r="H714" s="4" t="s">
        <v>98</v>
      </c>
      <c r="I714" s="4"/>
      <c r="J714" s="4"/>
      <c r="K714" s="4">
        <v>224</v>
      </c>
      <c r="L714" s="4">
        <v>27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142029.84</v>
      </c>
      <c r="X714" s="4">
        <v>1</v>
      </c>
      <c r="Y714" s="4">
        <v>142029.84</v>
      </c>
      <c r="Z714" s="4"/>
      <c r="AA714" s="4"/>
      <c r="AB714" s="4"/>
    </row>
    <row r="716" spans="1:206" x14ac:dyDescent="0.2">
      <c r="A716" s="2">
        <v>51</v>
      </c>
      <c r="B716" s="2">
        <f>B20</f>
        <v>1</v>
      </c>
      <c r="C716" s="2">
        <f>A20</f>
        <v>3</v>
      </c>
      <c r="D716" s="2">
        <f>ROW(A20)</f>
        <v>20</v>
      </c>
      <c r="E716" s="2"/>
      <c r="F716" s="2" t="str">
        <f>IF(F20&lt;&gt;"",F20,"")</f>
        <v/>
      </c>
      <c r="G716" s="2" t="str">
        <f>IF(G20&lt;&gt;"",G20,"")</f>
        <v>1.1 Киносклад</v>
      </c>
      <c r="H716" s="2">
        <v>0</v>
      </c>
      <c r="I716" s="2"/>
      <c r="J716" s="2"/>
      <c r="K716" s="2"/>
      <c r="L716" s="2"/>
      <c r="M716" s="2"/>
      <c r="N716" s="2"/>
      <c r="O716" s="2">
        <f t="shared" ref="O716:T716" si="577">ROUND(O36+O199+O262+O564+O686+AB716,2)</f>
        <v>699970.64</v>
      </c>
      <c r="P716" s="2">
        <f t="shared" si="577"/>
        <v>11195.82</v>
      </c>
      <c r="Q716" s="2">
        <f t="shared" si="577"/>
        <v>6897.67</v>
      </c>
      <c r="R716" s="2">
        <f t="shared" si="577"/>
        <v>4344.75</v>
      </c>
      <c r="S716" s="2">
        <f t="shared" si="577"/>
        <v>681877.15</v>
      </c>
      <c r="T716" s="2">
        <f t="shared" si="577"/>
        <v>0</v>
      </c>
      <c r="U716" s="2">
        <f>U36+U199+U262+U564+U686+AH716</f>
        <v>1098.8610800000001</v>
      </c>
      <c r="V716" s="2">
        <f>V36+V199+V262+V564+V686+AI716</f>
        <v>0</v>
      </c>
      <c r="W716" s="2">
        <f>ROUND(W36+W199+W262+W564+W686+AJ716,2)</f>
        <v>0</v>
      </c>
      <c r="X716" s="2">
        <f>ROUND(X36+X199+X262+X564+X686+AK716,2)</f>
        <v>477314.02</v>
      </c>
      <c r="Y716" s="2">
        <f>ROUND(Y36+Y199+Y262+Y564+Y686+AL716,2)</f>
        <v>68187.740000000005</v>
      </c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>
        <f t="shared" ref="AO716:BD716" si="578">ROUND(AO36+AO199+AO262+AO564+AO686+BX716,2)</f>
        <v>0</v>
      </c>
      <c r="AP716" s="2">
        <f t="shared" si="578"/>
        <v>0</v>
      </c>
      <c r="AQ716" s="2">
        <f t="shared" si="578"/>
        <v>0</v>
      </c>
      <c r="AR716" s="2">
        <f t="shared" si="578"/>
        <v>1250164.73</v>
      </c>
      <c r="AS716" s="2">
        <f t="shared" si="578"/>
        <v>0</v>
      </c>
      <c r="AT716" s="2">
        <f t="shared" si="578"/>
        <v>0</v>
      </c>
      <c r="AU716" s="2">
        <f t="shared" si="578"/>
        <v>1250164.73</v>
      </c>
      <c r="AV716" s="2">
        <f t="shared" si="578"/>
        <v>11195.82</v>
      </c>
      <c r="AW716" s="2">
        <f t="shared" si="578"/>
        <v>11195.82</v>
      </c>
      <c r="AX716" s="2">
        <f t="shared" si="578"/>
        <v>0</v>
      </c>
      <c r="AY716" s="2">
        <f t="shared" si="578"/>
        <v>11195.82</v>
      </c>
      <c r="AZ716" s="2">
        <f t="shared" si="578"/>
        <v>0</v>
      </c>
      <c r="BA716" s="2">
        <f t="shared" si="578"/>
        <v>0</v>
      </c>
      <c r="BB716" s="2">
        <f t="shared" si="578"/>
        <v>0</v>
      </c>
      <c r="BC716" s="2">
        <f t="shared" si="578"/>
        <v>0</v>
      </c>
      <c r="BD716" s="2">
        <f t="shared" si="578"/>
        <v>0</v>
      </c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3"/>
      <c r="DH716" s="3"/>
      <c r="DI716" s="3"/>
      <c r="DJ716" s="3"/>
      <c r="DK716" s="3"/>
      <c r="DL716" s="3"/>
      <c r="DM716" s="3"/>
      <c r="DN716" s="3"/>
      <c r="DO716" s="3"/>
      <c r="DP716" s="3"/>
      <c r="DQ716" s="3"/>
      <c r="DR716" s="3"/>
      <c r="DS716" s="3"/>
      <c r="DT716" s="3"/>
      <c r="DU716" s="3"/>
      <c r="DV716" s="3"/>
      <c r="DW716" s="3"/>
      <c r="DX716" s="3"/>
      <c r="DY716" s="3"/>
      <c r="DZ716" s="3"/>
      <c r="EA716" s="3"/>
      <c r="EB716" s="3"/>
      <c r="EC716" s="3"/>
      <c r="ED716" s="3"/>
      <c r="EE716" s="3"/>
      <c r="EF716" s="3"/>
      <c r="EG716" s="3"/>
      <c r="EH716" s="3"/>
      <c r="EI716" s="3"/>
      <c r="EJ716" s="3"/>
      <c r="EK716" s="3"/>
      <c r="EL716" s="3"/>
      <c r="EM716" s="3"/>
      <c r="EN716" s="3"/>
      <c r="EO716" s="3"/>
      <c r="EP716" s="3"/>
      <c r="EQ716" s="3"/>
      <c r="ER716" s="3"/>
      <c r="ES716" s="3"/>
      <c r="ET716" s="3"/>
      <c r="EU716" s="3"/>
      <c r="EV716" s="3"/>
      <c r="EW716" s="3"/>
      <c r="EX716" s="3"/>
      <c r="EY716" s="3"/>
      <c r="EZ716" s="3"/>
      <c r="FA716" s="3"/>
      <c r="FB716" s="3"/>
      <c r="FC716" s="3"/>
      <c r="FD716" s="3"/>
      <c r="FE716" s="3"/>
      <c r="FF716" s="3"/>
      <c r="FG716" s="3"/>
      <c r="FH716" s="3"/>
      <c r="FI716" s="3"/>
      <c r="FJ716" s="3"/>
      <c r="FK716" s="3"/>
      <c r="FL716" s="3"/>
      <c r="FM716" s="3"/>
      <c r="FN716" s="3"/>
      <c r="FO716" s="3"/>
      <c r="FP716" s="3"/>
      <c r="FQ716" s="3"/>
      <c r="FR716" s="3"/>
      <c r="FS716" s="3"/>
      <c r="FT716" s="3"/>
      <c r="FU716" s="3"/>
      <c r="FV716" s="3"/>
      <c r="FW716" s="3"/>
      <c r="FX716" s="3"/>
      <c r="FY716" s="3"/>
      <c r="FZ716" s="3"/>
      <c r="GA716" s="3"/>
      <c r="GB716" s="3"/>
      <c r="GC716" s="3"/>
      <c r="GD716" s="3"/>
      <c r="GE716" s="3"/>
      <c r="GF716" s="3"/>
      <c r="GG716" s="3"/>
      <c r="GH716" s="3"/>
      <c r="GI716" s="3"/>
      <c r="GJ716" s="3"/>
      <c r="GK716" s="3"/>
      <c r="GL716" s="3"/>
      <c r="GM716" s="3"/>
      <c r="GN716" s="3"/>
      <c r="GO716" s="3"/>
      <c r="GP716" s="3"/>
      <c r="GQ716" s="3"/>
      <c r="GR716" s="3"/>
      <c r="GS716" s="3"/>
      <c r="GT716" s="3"/>
      <c r="GU716" s="3"/>
      <c r="GV716" s="3"/>
      <c r="GW716" s="3"/>
      <c r="GX716" s="3">
        <v>0</v>
      </c>
    </row>
    <row r="718" spans="1:206" x14ac:dyDescent="0.2">
      <c r="A718" s="4">
        <v>50</v>
      </c>
      <c r="B718" s="4">
        <v>0</v>
      </c>
      <c r="C718" s="4">
        <v>0</v>
      </c>
      <c r="D718" s="4">
        <v>1</v>
      </c>
      <c r="E718" s="4">
        <v>201</v>
      </c>
      <c r="F718" s="4">
        <f>ROUND(Source!O716,O718)</f>
        <v>699970.64</v>
      </c>
      <c r="G718" s="4" t="s">
        <v>45</v>
      </c>
      <c r="H718" s="4" t="s">
        <v>46</v>
      </c>
      <c r="I718" s="4"/>
      <c r="J718" s="4"/>
      <c r="K718" s="4">
        <v>201</v>
      </c>
      <c r="L718" s="4">
        <v>1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699970.64</v>
      </c>
      <c r="X718" s="4">
        <v>1</v>
      </c>
      <c r="Y718" s="4">
        <v>699970.64</v>
      </c>
      <c r="Z718" s="4"/>
      <c r="AA718" s="4"/>
      <c r="AB718" s="4"/>
    </row>
    <row r="719" spans="1:206" x14ac:dyDescent="0.2">
      <c r="A719" s="4">
        <v>50</v>
      </c>
      <c r="B719" s="4">
        <v>0</v>
      </c>
      <c r="C719" s="4">
        <v>0</v>
      </c>
      <c r="D719" s="4">
        <v>1</v>
      </c>
      <c r="E719" s="4">
        <v>202</v>
      </c>
      <c r="F719" s="4">
        <f>ROUND(Source!P716,O719)</f>
        <v>11195.82</v>
      </c>
      <c r="G719" s="4" t="s">
        <v>47</v>
      </c>
      <c r="H719" s="4" t="s">
        <v>48</v>
      </c>
      <c r="I719" s="4"/>
      <c r="J719" s="4"/>
      <c r="K719" s="4">
        <v>202</v>
      </c>
      <c r="L719" s="4">
        <v>2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11195.82</v>
      </c>
      <c r="X719" s="4">
        <v>1</v>
      </c>
      <c r="Y719" s="4">
        <v>11195.82</v>
      </c>
      <c r="Z719" s="4"/>
      <c r="AA719" s="4"/>
      <c r="AB719" s="4"/>
    </row>
    <row r="720" spans="1:206" x14ac:dyDescent="0.2">
      <c r="A720" s="4">
        <v>50</v>
      </c>
      <c r="B720" s="4">
        <v>0</v>
      </c>
      <c r="C720" s="4">
        <v>0</v>
      </c>
      <c r="D720" s="4">
        <v>1</v>
      </c>
      <c r="E720" s="4">
        <v>222</v>
      </c>
      <c r="F720" s="4">
        <f>ROUND(Source!AO716,O720)</f>
        <v>0</v>
      </c>
      <c r="G720" s="4" t="s">
        <v>49</v>
      </c>
      <c r="H720" s="4" t="s">
        <v>50</v>
      </c>
      <c r="I720" s="4"/>
      <c r="J720" s="4"/>
      <c r="K720" s="4">
        <v>222</v>
      </c>
      <c r="L720" s="4">
        <v>3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0</v>
      </c>
      <c r="X720" s="4">
        <v>1</v>
      </c>
      <c r="Y720" s="4">
        <v>0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225</v>
      </c>
      <c r="F721" s="4">
        <f>ROUND(Source!AV716,O721)</f>
        <v>11195.82</v>
      </c>
      <c r="G721" s="4" t="s">
        <v>51</v>
      </c>
      <c r="H721" s="4" t="s">
        <v>52</v>
      </c>
      <c r="I721" s="4"/>
      <c r="J721" s="4"/>
      <c r="K721" s="4">
        <v>225</v>
      </c>
      <c r="L721" s="4">
        <v>4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11195.82</v>
      </c>
      <c r="X721" s="4">
        <v>1</v>
      </c>
      <c r="Y721" s="4">
        <v>11195.82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226</v>
      </c>
      <c r="F722" s="4">
        <f>ROUND(Source!AW716,O722)</f>
        <v>11195.82</v>
      </c>
      <c r="G722" s="4" t="s">
        <v>53</v>
      </c>
      <c r="H722" s="4" t="s">
        <v>54</v>
      </c>
      <c r="I722" s="4"/>
      <c r="J722" s="4"/>
      <c r="K722" s="4">
        <v>226</v>
      </c>
      <c r="L722" s="4">
        <v>5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11195.82</v>
      </c>
      <c r="X722" s="4">
        <v>1</v>
      </c>
      <c r="Y722" s="4">
        <v>11195.82</v>
      </c>
      <c r="Z722" s="4"/>
      <c r="AA722" s="4"/>
      <c r="AB722" s="4"/>
    </row>
    <row r="723" spans="1:28" x14ac:dyDescent="0.2">
      <c r="A723" s="4">
        <v>50</v>
      </c>
      <c r="B723" s="4">
        <v>0</v>
      </c>
      <c r="C723" s="4">
        <v>0</v>
      </c>
      <c r="D723" s="4">
        <v>1</v>
      </c>
      <c r="E723" s="4">
        <v>227</v>
      </c>
      <c r="F723" s="4">
        <f>ROUND(Source!AX716,O723)</f>
        <v>0</v>
      </c>
      <c r="G723" s="4" t="s">
        <v>55</v>
      </c>
      <c r="H723" s="4" t="s">
        <v>56</v>
      </c>
      <c r="I723" s="4"/>
      <c r="J723" s="4"/>
      <c r="K723" s="4">
        <v>227</v>
      </c>
      <c r="L723" s="4">
        <v>6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0</v>
      </c>
      <c r="X723" s="4">
        <v>1</v>
      </c>
      <c r="Y723" s="4">
        <v>0</v>
      </c>
      <c r="Z723" s="4"/>
      <c r="AA723" s="4"/>
      <c r="AB723" s="4"/>
    </row>
    <row r="724" spans="1:28" x14ac:dyDescent="0.2">
      <c r="A724" s="4">
        <v>50</v>
      </c>
      <c r="B724" s="4">
        <v>0</v>
      </c>
      <c r="C724" s="4">
        <v>0</v>
      </c>
      <c r="D724" s="4">
        <v>1</v>
      </c>
      <c r="E724" s="4">
        <v>228</v>
      </c>
      <c r="F724" s="4">
        <f>ROUND(Source!AY716,O724)</f>
        <v>11195.82</v>
      </c>
      <c r="G724" s="4" t="s">
        <v>57</v>
      </c>
      <c r="H724" s="4" t="s">
        <v>58</v>
      </c>
      <c r="I724" s="4"/>
      <c r="J724" s="4"/>
      <c r="K724" s="4">
        <v>228</v>
      </c>
      <c r="L724" s="4">
        <v>7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11195.82</v>
      </c>
      <c r="X724" s="4">
        <v>1</v>
      </c>
      <c r="Y724" s="4">
        <v>11195.82</v>
      </c>
      <c r="Z724" s="4"/>
      <c r="AA724" s="4"/>
      <c r="AB724" s="4"/>
    </row>
    <row r="725" spans="1:28" x14ac:dyDescent="0.2">
      <c r="A725" s="4">
        <v>50</v>
      </c>
      <c r="B725" s="4">
        <v>0</v>
      </c>
      <c r="C725" s="4">
        <v>0</v>
      </c>
      <c r="D725" s="4">
        <v>1</v>
      </c>
      <c r="E725" s="4">
        <v>216</v>
      </c>
      <c r="F725" s="4">
        <f>ROUND(Source!AP716,O725)</f>
        <v>0</v>
      </c>
      <c r="G725" s="4" t="s">
        <v>59</v>
      </c>
      <c r="H725" s="4" t="s">
        <v>60</v>
      </c>
      <c r="I725" s="4"/>
      <c r="J725" s="4"/>
      <c r="K725" s="4">
        <v>216</v>
      </c>
      <c r="L725" s="4">
        <v>8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0</v>
      </c>
      <c r="X725" s="4">
        <v>1</v>
      </c>
      <c r="Y725" s="4">
        <v>0</v>
      </c>
      <c r="Z725" s="4"/>
      <c r="AA725" s="4"/>
      <c r="AB725" s="4"/>
    </row>
    <row r="726" spans="1:28" x14ac:dyDescent="0.2">
      <c r="A726" s="4">
        <v>50</v>
      </c>
      <c r="B726" s="4">
        <v>0</v>
      </c>
      <c r="C726" s="4">
        <v>0</v>
      </c>
      <c r="D726" s="4">
        <v>1</v>
      </c>
      <c r="E726" s="4">
        <v>223</v>
      </c>
      <c r="F726" s="4">
        <f>ROUND(Source!AQ716,O726)</f>
        <v>0</v>
      </c>
      <c r="G726" s="4" t="s">
        <v>61</v>
      </c>
      <c r="H726" s="4" t="s">
        <v>62</v>
      </c>
      <c r="I726" s="4"/>
      <c r="J726" s="4"/>
      <c r="K726" s="4">
        <v>223</v>
      </c>
      <c r="L726" s="4">
        <v>9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8" x14ac:dyDescent="0.2">
      <c r="A727" s="4">
        <v>50</v>
      </c>
      <c r="B727" s="4">
        <v>0</v>
      </c>
      <c r="C727" s="4">
        <v>0</v>
      </c>
      <c r="D727" s="4">
        <v>1</v>
      </c>
      <c r="E727" s="4">
        <v>229</v>
      </c>
      <c r="F727" s="4">
        <f>ROUND(Source!AZ716,O727)</f>
        <v>0</v>
      </c>
      <c r="G727" s="4" t="s">
        <v>63</v>
      </c>
      <c r="H727" s="4" t="s">
        <v>64</v>
      </c>
      <c r="I727" s="4"/>
      <c r="J727" s="4"/>
      <c r="K727" s="4">
        <v>229</v>
      </c>
      <c r="L727" s="4">
        <v>10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8" x14ac:dyDescent="0.2">
      <c r="A728" s="4">
        <v>50</v>
      </c>
      <c r="B728" s="4">
        <v>0</v>
      </c>
      <c r="C728" s="4">
        <v>0</v>
      </c>
      <c r="D728" s="4">
        <v>1</v>
      </c>
      <c r="E728" s="4">
        <v>203</v>
      </c>
      <c r="F728" s="4">
        <f>ROUND(Source!Q716,O728)</f>
        <v>6897.67</v>
      </c>
      <c r="G728" s="4" t="s">
        <v>65</v>
      </c>
      <c r="H728" s="4" t="s">
        <v>66</v>
      </c>
      <c r="I728" s="4"/>
      <c r="J728" s="4"/>
      <c r="K728" s="4">
        <v>203</v>
      </c>
      <c r="L728" s="4">
        <v>11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6897.67</v>
      </c>
      <c r="X728" s="4">
        <v>1</v>
      </c>
      <c r="Y728" s="4">
        <v>6897.67</v>
      </c>
      <c r="Z728" s="4"/>
      <c r="AA728" s="4"/>
      <c r="AB728" s="4"/>
    </row>
    <row r="729" spans="1:28" x14ac:dyDescent="0.2">
      <c r="A729" s="4">
        <v>50</v>
      </c>
      <c r="B729" s="4">
        <v>0</v>
      </c>
      <c r="C729" s="4">
        <v>0</v>
      </c>
      <c r="D729" s="4">
        <v>1</v>
      </c>
      <c r="E729" s="4">
        <v>231</v>
      </c>
      <c r="F729" s="4">
        <f>ROUND(Source!BB716,O729)</f>
        <v>0</v>
      </c>
      <c r="G729" s="4" t="s">
        <v>67</v>
      </c>
      <c r="H729" s="4" t="s">
        <v>68</v>
      </c>
      <c r="I729" s="4"/>
      <c r="J729" s="4"/>
      <c r="K729" s="4">
        <v>231</v>
      </c>
      <c r="L729" s="4">
        <v>12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0</v>
      </c>
      <c r="X729" s="4">
        <v>1</v>
      </c>
      <c r="Y729" s="4">
        <v>0</v>
      </c>
      <c r="Z729" s="4"/>
      <c r="AA729" s="4"/>
      <c r="AB729" s="4"/>
    </row>
    <row r="730" spans="1:28" x14ac:dyDescent="0.2">
      <c r="A730" s="4">
        <v>50</v>
      </c>
      <c r="B730" s="4">
        <v>0</v>
      </c>
      <c r="C730" s="4">
        <v>0</v>
      </c>
      <c r="D730" s="4">
        <v>1</v>
      </c>
      <c r="E730" s="4">
        <v>204</v>
      </c>
      <c r="F730" s="4">
        <f>ROUND(Source!R716,O730)</f>
        <v>4344.75</v>
      </c>
      <c r="G730" s="4" t="s">
        <v>69</v>
      </c>
      <c r="H730" s="4" t="s">
        <v>70</v>
      </c>
      <c r="I730" s="4"/>
      <c r="J730" s="4"/>
      <c r="K730" s="4">
        <v>204</v>
      </c>
      <c r="L730" s="4">
        <v>13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4344.75</v>
      </c>
      <c r="X730" s="4">
        <v>1</v>
      </c>
      <c r="Y730" s="4">
        <v>4344.75</v>
      </c>
      <c r="Z730" s="4"/>
      <c r="AA730" s="4"/>
      <c r="AB730" s="4"/>
    </row>
    <row r="731" spans="1:28" x14ac:dyDescent="0.2">
      <c r="A731" s="4">
        <v>50</v>
      </c>
      <c r="B731" s="4">
        <v>0</v>
      </c>
      <c r="C731" s="4">
        <v>0</v>
      </c>
      <c r="D731" s="4">
        <v>1</v>
      </c>
      <c r="E731" s="4">
        <v>205</v>
      </c>
      <c r="F731" s="4">
        <f>ROUND(Source!S716,O731)</f>
        <v>681877.15</v>
      </c>
      <c r="G731" s="4" t="s">
        <v>71</v>
      </c>
      <c r="H731" s="4" t="s">
        <v>72</v>
      </c>
      <c r="I731" s="4"/>
      <c r="J731" s="4"/>
      <c r="K731" s="4">
        <v>205</v>
      </c>
      <c r="L731" s="4">
        <v>14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681877.15</v>
      </c>
      <c r="X731" s="4">
        <v>1</v>
      </c>
      <c r="Y731" s="4">
        <v>681877.15</v>
      </c>
      <c r="Z731" s="4"/>
      <c r="AA731" s="4"/>
      <c r="AB731" s="4"/>
    </row>
    <row r="732" spans="1:28" x14ac:dyDescent="0.2">
      <c r="A732" s="4">
        <v>50</v>
      </c>
      <c r="B732" s="4">
        <v>0</v>
      </c>
      <c r="C732" s="4">
        <v>0</v>
      </c>
      <c r="D732" s="4">
        <v>1</v>
      </c>
      <c r="E732" s="4">
        <v>232</v>
      </c>
      <c r="F732" s="4">
        <f>ROUND(Source!BC716,O732)</f>
        <v>0</v>
      </c>
      <c r="G732" s="4" t="s">
        <v>73</v>
      </c>
      <c r="H732" s="4" t="s">
        <v>74</v>
      </c>
      <c r="I732" s="4"/>
      <c r="J732" s="4"/>
      <c r="K732" s="4">
        <v>232</v>
      </c>
      <c r="L732" s="4">
        <v>15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8" x14ac:dyDescent="0.2">
      <c r="A733" s="4">
        <v>50</v>
      </c>
      <c r="B733" s="4">
        <v>0</v>
      </c>
      <c r="C733" s="4">
        <v>0</v>
      </c>
      <c r="D733" s="4">
        <v>1</v>
      </c>
      <c r="E733" s="4">
        <v>214</v>
      </c>
      <c r="F733" s="4">
        <f>ROUND(Source!AS716,O733)</f>
        <v>0</v>
      </c>
      <c r="G733" s="4" t="s">
        <v>75</v>
      </c>
      <c r="H733" s="4" t="s">
        <v>76</v>
      </c>
      <c r="I733" s="4"/>
      <c r="J733" s="4"/>
      <c r="K733" s="4">
        <v>214</v>
      </c>
      <c r="L733" s="4">
        <v>16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8" x14ac:dyDescent="0.2">
      <c r="A734" s="4">
        <v>50</v>
      </c>
      <c r="B734" s="4">
        <v>0</v>
      </c>
      <c r="C734" s="4">
        <v>0</v>
      </c>
      <c r="D734" s="4">
        <v>1</v>
      </c>
      <c r="E734" s="4">
        <v>215</v>
      </c>
      <c r="F734" s="4">
        <f>ROUND(Source!AT716,O734)</f>
        <v>0</v>
      </c>
      <c r="G734" s="4" t="s">
        <v>77</v>
      </c>
      <c r="H734" s="4" t="s">
        <v>78</v>
      </c>
      <c r="I734" s="4"/>
      <c r="J734" s="4"/>
      <c r="K734" s="4">
        <v>215</v>
      </c>
      <c r="L734" s="4">
        <v>17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8" x14ac:dyDescent="0.2">
      <c r="A735" s="4">
        <v>50</v>
      </c>
      <c r="B735" s="4">
        <v>0</v>
      </c>
      <c r="C735" s="4">
        <v>0</v>
      </c>
      <c r="D735" s="4">
        <v>1</v>
      </c>
      <c r="E735" s="4">
        <v>217</v>
      </c>
      <c r="F735" s="4">
        <f>ROUND(Source!AU716,O735)</f>
        <v>1250164.73</v>
      </c>
      <c r="G735" s="4" t="s">
        <v>79</v>
      </c>
      <c r="H735" s="4" t="s">
        <v>80</v>
      </c>
      <c r="I735" s="4"/>
      <c r="J735" s="4"/>
      <c r="K735" s="4">
        <v>217</v>
      </c>
      <c r="L735" s="4">
        <v>18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1250164.73</v>
      </c>
      <c r="X735" s="4">
        <v>1</v>
      </c>
      <c r="Y735" s="4">
        <v>1250164.73</v>
      </c>
      <c r="Z735" s="4"/>
      <c r="AA735" s="4"/>
      <c r="AB735" s="4"/>
    </row>
    <row r="736" spans="1:28" x14ac:dyDescent="0.2">
      <c r="A736" s="4">
        <v>50</v>
      </c>
      <c r="B736" s="4">
        <v>0</v>
      </c>
      <c r="C736" s="4">
        <v>0</v>
      </c>
      <c r="D736" s="4">
        <v>1</v>
      </c>
      <c r="E736" s="4">
        <v>230</v>
      </c>
      <c r="F736" s="4">
        <f>ROUND(Source!BA716,O736)</f>
        <v>0</v>
      </c>
      <c r="G736" s="4" t="s">
        <v>81</v>
      </c>
      <c r="H736" s="4" t="s">
        <v>82</v>
      </c>
      <c r="I736" s="4"/>
      <c r="J736" s="4"/>
      <c r="K736" s="4">
        <v>230</v>
      </c>
      <c r="L736" s="4">
        <v>19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06" x14ac:dyDescent="0.2">
      <c r="A737" s="4">
        <v>50</v>
      </c>
      <c r="B737" s="4">
        <v>0</v>
      </c>
      <c r="C737" s="4">
        <v>0</v>
      </c>
      <c r="D737" s="4">
        <v>1</v>
      </c>
      <c r="E737" s="4">
        <v>206</v>
      </c>
      <c r="F737" s="4">
        <f>ROUND(Source!T716,O737)</f>
        <v>0</v>
      </c>
      <c r="G737" s="4" t="s">
        <v>83</v>
      </c>
      <c r="H737" s="4" t="s">
        <v>84</v>
      </c>
      <c r="I737" s="4"/>
      <c r="J737" s="4"/>
      <c r="K737" s="4">
        <v>206</v>
      </c>
      <c r="L737" s="4">
        <v>20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06" x14ac:dyDescent="0.2">
      <c r="A738" s="4">
        <v>50</v>
      </c>
      <c r="B738" s="4">
        <v>0</v>
      </c>
      <c r="C738" s="4">
        <v>0</v>
      </c>
      <c r="D738" s="4">
        <v>1</v>
      </c>
      <c r="E738" s="4">
        <v>207</v>
      </c>
      <c r="F738" s="4">
        <f>Source!U716</f>
        <v>1098.8610800000001</v>
      </c>
      <c r="G738" s="4" t="s">
        <v>85</v>
      </c>
      <c r="H738" s="4" t="s">
        <v>86</v>
      </c>
      <c r="I738" s="4"/>
      <c r="J738" s="4"/>
      <c r="K738" s="4">
        <v>207</v>
      </c>
      <c r="L738" s="4">
        <v>21</v>
      </c>
      <c r="M738" s="4">
        <v>3</v>
      </c>
      <c r="N738" s="4" t="s">
        <v>3</v>
      </c>
      <c r="O738" s="4">
        <v>-1</v>
      </c>
      <c r="P738" s="4"/>
      <c r="Q738" s="4"/>
      <c r="R738" s="4"/>
      <c r="S738" s="4"/>
      <c r="T738" s="4"/>
      <c r="U738" s="4"/>
      <c r="V738" s="4"/>
      <c r="W738" s="4">
        <v>1098.8610800000001</v>
      </c>
      <c r="X738" s="4">
        <v>1</v>
      </c>
      <c r="Y738" s="4">
        <v>1098.8610800000001</v>
      </c>
      <c r="Z738" s="4"/>
      <c r="AA738" s="4"/>
      <c r="AB738" s="4"/>
    </row>
    <row r="739" spans="1:206" x14ac:dyDescent="0.2">
      <c r="A739" s="4">
        <v>50</v>
      </c>
      <c r="B739" s="4">
        <v>0</v>
      </c>
      <c r="C739" s="4">
        <v>0</v>
      </c>
      <c r="D739" s="4">
        <v>1</v>
      </c>
      <c r="E739" s="4">
        <v>208</v>
      </c>
      <c r="F739" s="4">
        <f>Source!V716</f>
        <v>0</v>
      </c>
      <c r="G739" s="4" t="s">
        <v>87</v>
      </c>
      <c r="H739" s="4" t="s">
        <v>88</v>
      </c>
      <c r="I739" s="4"/>
      <c r="J739" s="4"/>
      <c r="K739" s="4">
        <v>208</v>
      </c>
      <c r="L739" s="4">
        <v>22</v>
      </c>
      <c r="M739" s="4">
        <v>3</v>
      </c>
      <c r="N739" s="4" t="s">
        <v>3</v>
      </c>
      <c r="O739" s="4">
        <v>-1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06" x14ac:dyDescent="0.2">
      <c r="A740" s="4">
        <v>50</v>
      </c>
      <c r="B740" s="4">
        <v>0</v>
      </c>
      <c r="C740" s="4">
        <v>0</v>
      </c>
      <c r="D740" s="4">
        <v>1</v>
      </c>
      <c r="E740" s="4">
        <v>209</v>
      </c>
      <c r="F740" s="4">
        <f>ROUND(Source!W716,O740)</f>
        <v>0</v>
      </c>
      <c r="G740" s="4" t="s">
        <v>89</v>
      </c>
      <c r="H740" s="4" t="s">
        <v>90</v>
      </c>
      <c r="I740" s="4"/>
      <c r="J740" s="4"/>
      <c r="K740" s="4">
        <v>209</v>
      </c>
      <c r="L740" s="4">
        <v>23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06" x14ac:dyDescent="0.2">
      <c r="A741" s="4">
        <v>50</v>
      </c>
      <c r="B741" s="4">
        <v>0</v>
      </c>
      <c r="C741" s="4">
        <v>0</v>
      </c>
      <c r="D741" s="4">
        <v>1</v>
      </c>
      <c r="E741" s="4">
        <v>233</v>
      </c>
      <c r="F741" s="4">
        <f>ROUND(Source!BD716,O741)</f>
        <v>0</v>
      </c>
      <c r="G741" s="4" t="s">
        <v>91</v>
      </c>
      <c r="H741" s="4" t="s">
        <v>92</v>
      </c>
      <c r="I741" s="4"/>
      <c r="J741" s="4"/>
      <c r="K741" s="4">
        <v>233</v>
      </c>
      <c r="L741" s="4">
        <v>24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06" x14ac:dyDescent="0.2">
      <c r="A742" s="4">
        <v>50</v>
      </c>
      <c r="B742" s="4">
        <v>0</v>
      </c>
      <c r="C742" s="4">
        <v>0</v>
      </c>
      <c r="D742" s="4">
        <v>1</v>
      </c>
      <c r="E742" s="4">
        <v>210</v>
      </c>
      <c r="F742" s="4">
        <f>ROUND(Source!X716,O742)</f>
        <v>477314.02</v>
      </c>
      <c r="G742" s="4" t="s">
        <v>93</v>
      </c>
      <c r="H742" s="4" t="s">
        <v>94</v>
      </c>
      <c r="I742" s="4"/>
      <c r="J742" s="4"/>
      <c r="K742" s="4">
        <v>210</v>
      </c>
      <c r="L742" s="4">
        <v>25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477314.02</v>
      </c>
      <c r="X742" s="4">
        <v>1</v>
      </c>
      <c r="Y742" s="4">
        <v>477314.02</v>
      </c>
      <c r="Z742" s="4"/>
      <c r="AA742" s="4"/>
      <c r="AB742" s="4"/>
    </row>
    <row r="743" spans="1:206" x14ac:dyDescent="0.2">
      <c r="A743" s="4">
        <v>50</v>
      </c>
      <c r="B743" s="4">
        <v>0</v>
      </c>
      <c r="C743" s="4">
        <v>0</v>
      </c>
      <c r="D743" s="4">
        <v>1</v>
      </c>
      <c r="E743" s="4">
        <v>211</v>
      </c>
      <c r="F743" s="4">
        <f>ROUND(Source!Y716,O743)</f>
        <v>68187.740000000005</v>
      </c>
      <c r="G743" s="4" t="s">
        <v>95</v>
      </c>
      <c r="H743" s="4" t="s">
        <v>96</v>
      </c>
      <c r="I743" s="4"/>
      <c r="J743" s="4"/>
      <c r="K743" s="4">
        <v>211</v>
      </c>
      <c r="L743" s="4">
        <v>26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68187.740000000005</v>
      </c>
      <c r="X743" s="4">
        <v>1</v>
      </c>
      <c r="Y743" s="4">
        <v>68187.740000000005</v>
      </c>
      <c r="Z743" s="4"/>
      <c r="AA743" s="4"/>
      <c r="AB743" s="4"/>
    </row>
    <row r="744" spans="1:206" x14ac:dyDescent="0.2">
      <c r="A744" s="4">
        <v>50</v>
      </c>
      <c r="B744" s="4">
        <v>0</v>
      </c>
      <c r="C744" s="4">
        <v>0</v>
      </c>
      <c r="D744" s="4">
        <v>1</v>
      </c>
      <c r="E744" s="4">
        <v>224</v>
      </c>
      <c r="F744" s="4">
        <f>ROUND(Source!AR716,O744)</f>
        <v>1250164.73</v>
      </c>
      <c r="G744" s="4" t="s">
        <v>97</v>
      </c>
      <c r="H744" s="4" t="s">
        <v>98</v>
      </c>
      <c r="I744" s="4"/>
      <c r="J744" s="4"/>
      <c r="K744" s="4">
        <v>224</v>
      </c>
      <c r="L744" s="4">
        <v>27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1250164.73</v>
      </c>
      <c r="X744" s="4">
        <v>1</v>
      </c>
      <c r="Y744" s="4">
        <v>1250164.73</v>
      </c>
      <c r="Z744" s="4"/>
      <c r="AA744" s="4"/>
      <c r="AB744" s="4"/>
    </row>
    <row r="746" spans="1:206" x14ac:dyDescent="0.2">
      <c r="A746" s="2">
        <v>51</v>
      </c>
      <c r="B746" s="2">
        <f>B12</f>
        <v>785</v>
      </c>
      <c r="C746" s="2">
        <f>A12</f>
        <v>1</v>
      </c>
      <c r="D746" s="2">
        <f>ROW(A12)</f>
        <v>12</v>
      </c>
      <c r="E746" s="2"/>
      <c r="F746" s="2" t="str">
        <f>IF(F12&lt;&gt;"",F12,"")</f>
        <v>Новый объект_(Копия)_(Копия)</v>
      </c>
      <c r="G746" s="2" t="str">
        <f>IF(G12&lt;&gt;"",G12,"")</f>
        <v>СН_1.1_на 4 месяца (10%)</v>
      </c>
      <c r="H746" s="2">
        <v>0</v>
      </c>
      <c r="I746" s="2"/>
      <c r="J746" s="2"/>
      <c r="K746" s="2"/>
      <c r="L746" s="2"/>
      <c r="M746" s="2"/>
      <c r="N746" s="2"/>
      <c r="O746" s="2">
        <f t="shared" ref="O746:T746" si="579">ROUND(O716,2)</f>
        <v>699970.64</v>
      </c>
      <c r="P746" s="2">
        <f t="shared" si="579"/>
        <v>11195.82</v>
      </c>
      <c r="Q746" s="2">
        <f t="shared" si="579"/>
        <v>6897.67</v>
      </c>
      <c r="R746" s="2">
        <f t="shared" si="579"/>
        <v>4344.75</v>
      </c>
      <c r="S746" s="2">
        <f t="shared" si="579"/>
        <v>681877.15</v>
      </c>
      <c r="T746" s="2">
        <f t="shared" si="579"/>
        <v>0</v>
      </c>
      <c r="U746" s="2">
        <f>U716</f>
        <v>1098.8610800000001</v>
      </c>
      <c r="V746" s="2">
        <f>V716</f>
        <v>0</v>
      </c>
      <c r="W746" s="2">
        <f>ROUND(W716,2)</f>
        <v>0</v>
      </c>
      <c r="X746" s="2">
        <f>ROUND(X716,2)</f>
        <v>477314.02</v>
      </c>
      <c r="Y746" s="2">
        <f>ROUND(Y716,2)</f>
        <v>68187.740000000005</v>
      </c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>
        <f t="shared" ref="AO746:BD746" si="580">ROUND(AO716,2)</f>
        <v>0</v>
      </c>
      <c r="AP746" s="2">
        <f t="shared" si="580"/>
        <v>0</v>
      </c>
      <c r="AQ746" s="2">
        <f t="shared" si="580"/>
        <v>0</v>
      </c>
      <c r="AR746" s="2">
        <f t="shared" si="580"/>
        <v>1250164.73</v>
      </c>
      <c r="AS746" s="2">
        <f t="shared" si="580"/>
        <v>0</v>
      </c>
      <c r="AT746" s="2">
        <f t="shared" si="580"/>
        <v>0</v>
      </c>
      <c r="AU746" s="2">
        <f t="shared" si="580"/>
        <v>1250164.73</v>
      </c>
      <c r="AV746" s="2">
        <f t="shared" si="580"/>
        <v>11195.82</v>
      </c>
      <c r="AW746" s="2">
        <f t="shared" si="580"/>
        <v>11195.82</v>
      </c>
      <c r="AX746" s="2">
        <f t="shared" si="580"/>
        <v>0</v>
      </c>
      <c r="AY746" s="2">
        <f t="shared" si="580"/>
        <v>11195.82</v>
      </c>
      <c r="AZ746" s="2">
        <f t="shared" si="580"/>
        <v>0</v>
      </c>
      <c r="BA746" s="2">
        <f t="shared" si="580"/>
        <v>0</v>
      </c>
      <c r="BB746" s="2">
        <f t="shared" si="580"/>
        <v>0</v>
      </c>
      <c r="BC746" s="2">
        <f t="shared" si="580"/>
        <v>0</v>
      </c>
      <c r="BD746" s="2">
        <f t="shared" si="580"/>
        <v>0</v>
      </c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3"/>
      <c r="DH746" s="3"/>
      <c r="DI746" s="3"/>
      <c r="DJ746" s="3"/>
      <c r="DK746" s="3"/>
      <c r="DL746" s="3"/>
      <c r="DM746" s="3"/>
      <c r="DN746" s="3"/>
      <c r="DO746" s="3"/>
      <c r="DP746" s="3"/>
      <c r="DQ746" s="3"/>
      <c r="DR746" s="3"/>
      <c r="DS746" s="3"/>
      <c r="DT746" s="3"/>
      <c r="DU746" s="3"/>
      <c r="DV746" s="3"/>
      <c r="DW746" s="3"/>
      <c r="DX746" s="3"/>
      <c r="DY746" s="3"/>
      <c r="DZ746" s="3"/>
      <c r="EA746" s="3"/>
      <c r="EB746" s="3"/>
      <c r="EC746" s="3"/>
      <c r="ED746" s="3"/>
      <c r="EE746" s="3"/>
      <c r="EF746" s="3"/>
      <c r="EG746" s="3"/>
      <c r="EH746" s="3"/>
      <c r="EI746" s="3"/>
      <c r="EJ746" s="3"/>
      <c r="EK746" s="3"/>
      <c r="EL746" s="3"/>
      <c r="EM746" s="3"/>
      <c r="EN746" s="3"/>
      <c r="EO746" s="3"/>
      <c r="EP746" s="3"/>
      <c r="EQ746" s="3"/>
      <c r="ER746" s="3"/>
      <c r="ES746" s="3"/>
      <c r="ET746" s="3"/>
      <c r="EU746" s="3"/>
      <c r="EV746" s="3"/>
      <c r="EW746" s="3"/>
      <c r="EX746" s="3"/>
      <c r="EY746" s="3"/>
      <c r="EZ746" s="3"/>
      <c r="FA746" s="3"/>
      <c r="FB746" s="3"/>
      <c r="FC746" s="3"/>
      <c r="FD746" s="3"/>
      <c r="FE746" s="3"/>
      <c r="FF746" s="3"/>
      <c r="FG746" s="3"/>
      <c r="FH746" s="3"/>
      <c r="FI746" s="3"/>
      <c r="FJ746" s="3"/>
      <c r="FK746" s="3"/>
      <c r="FL746" s="3"/>
      <c r="FM746" s="3"/>
      <c r="FN746" s="3"/>
      <c r="FO746" s="3"/>
      <c r="FP746" s="3"/>
      <c r="FQ746" s="3"/>
      <c r="FR746" s="3"/>
      <c r="FS746" s="3"/>
      <c r="FT746" s="3"/>
      <c r="FU746" s="3"/>
      <c r="FV746" s="3"/>
      <c r="FW746" s="3"/>
      <c r="FX746" s="3"/>
      <c r="FY746" s="3"/>
      <c r="FZ746" s="3"/>
      <c r="GA746" s="3"/>
      <c r="GB746" s="3"/>
      <c r="GC746" s="3"/>
      <c r="GD746" s="3"/>
      <c r="GE746" s="3"/>
      <c r="GF746" s="3"/>
      <c r="GG746" s="3"/>
      <c r="GH746" s="3"/>
      <c r="GI746" s="3"/>
      <c r="GJ746" s="3"/>
      <c r="GK746" s="3"/>
      <c r="GL746" s="3"/>
      <c r="GM746" s="3"/>
      <c r="GN746" s="3"/>
      <c r="GO746" s="3"/>
      <c r="GP746" s="3"/>
      <c r="GQ746" s="3"/>
      <c r="GR746" s="3"/>
      <c r="GS746" s="3"/>
      <c r="GT746" s="3"/>
      <c r="GU746" s="3"/>
      <c r="GV746" s="3"/>
      <c r="GW746" s="3"/>
      <c r="GX746" s="3">
        <v>0</v>
      </c>
    </row>
    <row r="748" spans="1:206" x14ac:dyDescent="0.2">
      <c r="A748" s="4">
        <v>50</v>
      </c>
      <c r="B748" s="4">
        <v>0</v>
      </c>
      <c r="C748" s="4">
        <v>0</v>
      </c>
      <c r="D748" s="4">
        <v>1</v>
      </c>
      <c r="E748" s="4">
        <v>201</v>
      </c>
      <c r="F748" s="4">
        <f>ROUND(Source!O746,O748)</f>
        <v>699970.64</v>
      </c>
      <c r="G748" s="4" t="s">
        <v>45</v>
      </c>
      <c r="H748" s="4" t="s">
        <v>46</v>
      </c>
      <c r="I748" s="4"/>
      <c r="J748" s="4"/>
      <c r="K748" s="4">
        <v>201</v>
      </c>
      <c r="L748" s="4">
        <v>1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699970.64</v>
      </c>
      <c r="X748" s="4">
        <v>1</v>
      </c>
      <c r="Y748" s="4">
        <v>699970.64</v>
      </c>
      <c r="Z748" s="4"/>
      <c r="AA748" s="4"/>
      <c r="AB748" s="4"/>
    </row>
    <row r="749" spans="1:206" x14ac:dyDescent="0.2">
      <c r="A749" s="4">
        <v>50</v>
      </c>
      <c r="B749" s="4">
        <v>0</v>
      </c>
      <c r="C749" s="4">
        <v>0</v>
      </c>
      <c r="D749" s="4">
        <v>1</v>
      </c>
      <c r="E749" s="4">
        <v>202</v>
      </c>
      <c r="F749" s="4">
        <f>ROUND(Source!P746,O749)</f>
        <v>11195.82</v>
      </c>
      <c r="G749" s="4" t="s">
        <v>47</v>
      </c>
      <c r="H749" s="4" t="s">
        <v>48</v>
      </c>
      <c r="I749" s="4"/>
      <c r="J749" s="4"/>
      <c r="K749" s="4">
        <v>202</v>
      </c>
      <c r="L749" s="4">
        <v>2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11195.82</v>
      </c>
      <c r="X749" s="4">
        <v>1</v>
      </c>
      <c r="Y749" s="4">
        <v>11195.82</v>
      </c>
      <c r="Z749" s="4"/>
      <c r="AA749" s="4"/>
      <c r="AB749" s="4"/>
    </row>
    <row r="750" spans="1:206" x14ac:dyDescent="0.2">
      <c r="A750" s="4">
        <v>50</v>
      </c>
      <c r="B750" s="4">
        <v>0</v>
      </c>
      <c r="C750" s="4">
        <v>0</v>
      </c>
      <c r="D750" s="4">
        <v>1</v>
      </c>
      <c r="E750" s="4">
        <v>222</v>
      </c>
      <c r="F750" s="4">
        <f>ROUND(Source!AO746,O750)</f>
        <v>0</v>
      </c>
      <c r="G750" s="4" t="s">
        <v>49</v>
      </c>
      <c r="H750" s="4" t="s">
        <v>50</v>
      </c>
      <c r="I750" s="4"/>
      <c r="J750" s="4"/>
      <c r="K750" s="4">
        <v>222</v>
      </c>
      <c r="L750" s="4">
        <v>3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06" x14ac:dyDescent="0.2">
      <c r="A751" s="4">
        <v>50</v>
      </c>
      <c r="B751" s="4">
        <v>0</v>
      </c>
      <c r="C751" s="4">
        <v>0</v>
      </c>
      <c r="D751" s="4">
        <v>1</v>
      </c>
      <c r="E751" s="4">
        <v>225</v>
      </c>
      <c r="F751" s="4">
        <f>ROUND(Source!AV746,O751)</f>
        <v>11195.82</v>
      </c>
      <c r="G751" s="4" t="s">
        <v>51</v>
      </c>
      <c r="H751" s="4" t="s">
        <v>52</v>
      </c>
      <c r="I751" s="4"/>
      <c r="J751" s="4"/>
      <c r="K751" s="4">
        <v>225</v>
      </c>
      <c r="L751" s="4">
        <v>4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11195.82</v>
      </c>
      <c r="X751" s="4">
        <v>1</v>
      </c>
      <c r="Y751" s="4">
        <v>11195.82</v>
      </c>
      <c r="Z751" s="4"/>
      <c r="AA751" s="4"/>
      <c r="AB751" s="4"/>
    </row>
    <row r="752" spans="1:206" x14ac:dyDescent="0.2">
      <c r="A752" s="4">
        <v>50</v>
      </c>
      <c r="B752" s="4">
        <v>0</v>
      </c>
      <c r="C752" s="4">
        <v>0</v>
      </c>
      <c r="D752" s="4">
        <v>1</v>
      </c>
      <c r="E752" s="4">
        <v>226</v>
      </c>
      <c r="F752" s="4">
        <f>ROUND(Source!AW746,O752)</f>
        <v>11195.82</v>
      </c>
      <c r="G752" s="4" t="s">
        <v>53</v>
      </c>
      <c r="H752" s="4" t="s">
        <v>54</v>
      </c>
      <c r="I752" s="4"/>
      <c r="J752" s="4"/>
      <c r="K752" s="4">
        <v>226</v>
      </c>
      <c r="L752" s="4">
        <v>5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11195.82</v>
      </c>
      <c r="X752" s="4">
        <v>1</v>
      </c>
      <c r="Y752" s="4">
        <v>11195.82</v>
      </c>
      <c r="Z752" s="4"/>
      <c r="AA752" s="4"/>
      <c r="AB752" s="4"/>
    </row>
    <row r="753" spans="1:28" x14ac:dyDescent="0.2">
      <c r="A753" s="4">
        <v>50</v>
      </c>
      <c r="B753" s="4">
        <v>0</v>
      </c>
      <c r="C753" s="4">
        <v>0</v>
      </c>
      <c r="D753" s="4">
        <v>1</v>
      </c>
      <c r="E753" s="4">
        <v>227</v>
      </c>
      <c r="F753" s="4">
        <f>ROUND(Source!AX746,O753)</f>
        <v>0</v>
      </c>
      <c r="G753" s="4" t="s">
        <v>55</v>
      </c>
      <c r="H753" s="4" t="s">
        <v>56</v>
      </c>
      <c r="I753" s="4"/>
      <c r="J753" s="4"/>
      <c r="K753" s="4">
        <v>227</v>
      </c>
      <c r="L753" s="4">
        <v>6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0</v>
      </c>
      <c r="X753" s="4">
        <v>1</v>
      </c>
      <c r="Y753" s="4">
        <v>0</v>
      </c>
      <c r="Z753" s="4"/>
      <c r="AA753" s="4"/>
      <c r="AB753" s="4"/>
    </row>
    <row r="754" spans="1:28" x14ac:dyDescent="0.2">
      <c r="A754" s="4">
        <v>50</v>
      </c>
      <c r="B754" s="4">
        <v>0</v>
      </c>
      <c r="C754" s="4">
        <v>0</v>
      </c>
      <c r="D754" s="4">
        <v>1</v>
      </c>
      <c r="E754" s="4">
        <v>228</v>
      </c>
      <c r="F754" s="4">
        <f>ROUND(Source!AY746,O754)</f>
        <v>11195.82</v>
      </c>
      <c r="G754" s="4" t="s">
        <v>57</v>
      </c>
      <c r="H754" s="4" t="s">
        <v>58</v>
      </c>
      <c r="I754" s="4"/>
      <c r="J754" s="4"/>
      <c r="K754" s="4">
        <v>228</v>
      </c>
      <c r="L754" s="4">
        <v>7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11195.82</v>
      </c>
      <c r="X754" s="4">
        <v>1</v>
      </c>
      <c r="Y754" s="4">
        <v>11195.82</v>
      </c>
      <c r="Z754" s="4"/>
      <c r="AA754" s="4"/>
      <c r="AB754" s="4"/>
    </row>
    <row r="755" spans="1:28" x14ac:dyDescent="0.2">
      <c r="A755" s="4">
        <v>50</v>
      </c>
      <c r="B755" s="4">
        <v>0</v>
      </c>
      <c r="C755" s="4">
        <v>0</v>
      </c>
      <c r="D755" s="4">
        <v>1</v>
      </c>
      <c r="E755" s="4">
        <v>216</v>
      </c>
      <c r="F755" s="4">
        <f>ROUND(Source!AP746,O755)</f>
        <v>0</v>
      </c>
      <c r="G755" s="4" t="s">
        <v>59</v>
      </c>
      <c r="H755" s="4" t="s">
        <v>60</v>
      </c>
      <c r="I755" s="4"/>
      <c r="J755" s="4"/>
      <c r="K755" s="4">
        <v>216</v>
      </c>
      <c r="L755" s="4">
        <v>8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0</v>
      </c>
      <c r="X755" s="4">
        <v>1</v>
      </c>
      <c r="Y755" s="4">
        <v>0</v>
      </c>
      <c r="Z755" s="4"/>
      <c r="AA755" s="4"/>
      <c r="AB755" s="4"/>
    </row>
    <row r="756" spans="1:28" x14ac:dyDescent="0.2">
      <c r="A756" s="4">
        <v>50</v>
      </c>
      <c r="B756" s="4">
        <v>0</v>
      </c>
      <c r="C756" s="4">
        <v>0</v>
      </c>
      <c r="D756" s="4">
        <v>1</v>
      </c>
      <c r="E756" s="4">
        <v>223</v>
      </c>
      <c r="F756" s="4">
        <f>ROUND(Source!AQ746,O756)</f>
        <v>0</v>
      </c>
      <c r="G756" s="4" t="s">
        <v>61</v>
      </c>
      <c r="H756" s="4" t="s">
        <v>62</v>
      </c>
      <c r="I756" s="4"/>
      <c r="J756" s="4"/>
      <c r="K756" s="4">
        <v>223</v>
      </c>
      <c r="L756" s="4">
        <v>9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8" x14ac:dyDescent="0.2">
      <c r="A757" s="4">
        <v>50</v>
      </c>
      <c r="B757" s="4">
        <v>0</v>
      </c>
      <c r="C757" s="4">
        <v>0</v>
      </c>
      <c r="D757" s="4">
        <v>1</v>
      </c>
      <c r="E757" s="4">
        <v>229</v>
      </c>
      <c r="F757" s="4">
        <f>ROUND(Source!AZ746,O757)</f>
        <v>0</v>
      </c>
      <c r="G757" s="4" t="s">
        <v>63</v>
      </c>
      <c r="H757" s="4" t="s">
        <v>64</v>
      </c>
      <c r="I757" s="4"/>
      <c r="J757" s="4"/>
      <c r="K757" s="4">
        <v>229</v>
      </c>
      <c r="L757" s="4">
        <v>10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0</v>
      </c>
      <c r="X757" s="4">
        <v>1</v>
      </c>
      <c r="Y757" s="4">
        <v>0</v>
      </c>
      <c r="Z757" s="4"/>
      <c r="AA757" s="4"/>
      <c r="AB757" s="4"/>
    </row>
    <row r="758" spans="1:28" x14ac:dyDescent="0.2">
      <c r="A758" s="4">
        <v>50</v>
      </c>
      <c r="B758" s="4">
        <v>0</v>
      </c>
      <c r="C758" s="4">
        <v>0</v>
      </c>
      <c r="D758" s="4">
        <v>1</v>
      </c>
      <c r="E758" s="4">
        <v>203</v>
      </c>
      <c r="F758" s="4">
        <f>ROUND(Source!Q746,O758)</f>
        <v>6897.67</v>
      </c>
      <c r="G758" s="4" t="s">
        <v>65</v>
      </c>
      <c r="H758" s="4" t="s">
        <v>66</v>
      </c>
      <c r="I758" s="4"/>
      <c r="J758" s="4"/>
      <c r="K758" s="4">
        <v>203</v>
      </c>
      <c r="L758" s="4">
        <v>11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6897.67</v>
      </c>
      <c r="X758" s="4">
        <v>1</v>
      </c>
      <c r="Y758" s="4">
        <v>6897.67</v>
      </c>
      <c r="Z758" s="4"/>
      <c r="AA758" s="4"/>
      <c r="AB758" s="4"/>
    </row>
    <row r="759" spans="1:28" x14ac:dyDescent="0.2">
      <c r="A759" s="4">
        <v>50</v>
      </c>
      <c r="B759" s="4">
        <v>0</v>
      </c>
      <c r="C759" s="4">
        <v>0</v>
      </c>
      <c r="D759" s="4">
        <v>1</v>
      </c>
      <c r="E759" s="4">
        <v>231</v>
      </c>
      <c r="F759" s="4">
        <f>ROUND(Source!BB746,O759)</f>
        <v>0</v>
      </c>
      <c r="G759" s="4" t="s">
        <v>67</v>
      </c>
      <c r="H759" s="4" t="s">
        <v>68</v>
      </c>
      <c r="I759" s="4"/>
      <c r="J759" s="4"/>
      <c r="K759" s="4">
        <v>231</v>
      </c>
      <c r="L759" s="4">
        <v>12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0</v>
      </c>
      <c r="X759" s="4">
        <v>1</v>
      </c>
      <c r="Y759" s="4">
        <v>0</v>
      </c>
      <c r="Z759" s="4"/>
      <c r="AA759" s="4"/>
      <c r="AB759" s="4"/>
    </row>
    <row r="760" spans="1:28" x14ac:dyDescent="0.2">
      <c r="A760" s="4">
        <v>50</v>
      </c>
      <c r="B760" s="4">
        <v>0</v>
      </c>
      <c r="C760" s="4">
        <v>0</v>
      </c>
      <c r="D760" s="4">
        <v>1</v>
      </c>
      <c r="E760" s="4">
        <v>204</v>
      </c>
      <c r="F760" s="4">
        <f>ROUND(Source!R746,O760)</f>
        <v>4344.75</v>
      </c>
      <c r="G760" s="4" t="s">
        <v>69</v>
      </c>
      <c r="H760" s="4" t="s">
        <v>70</v>
      </c>
      <c r="I760" s="4"/>
      <c r="J760" s="4"/>
      <c r="K760" s="4">
        <v>204</v>
      </c>
      <c r="L760" s="4">
        <v>13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4344.75</v>
      </c>
      <c r="X760" s="4">
        <v>1</v>
      </c>
      <c r="Y760" s="4">
        <v>4344.75</v>
      </c>
      <c r="Z760" s="4"/>
      <c r="AA760" s="4"/>
      <c r="AB760" s="4"/>
    </row>
    <row r="761" spans="1:28" x14ac:dyDescent="0.2">
      <c r="A761" s="4">
        <v>50</v>
      </c>
      <c r="B761" s="4">
        <v>0</v>
      </c>
      <c r="C761" s="4">
        <v>0</v>
      </c>
      <c r="D761" s="4">
        <v>1</v>
      </c>
      <c r="E761" s="4">
        <v>205</v>
      </c>
      <c r="F761" s="4">
        <f>ROUND(Source!S746,O761)</f>
        <v>681877.15</v>
      </c>
      <c r="G761" s="4" t="s">
        <v>71</v>
      </c>
      <c r="H761" s="4" t="s">
        <v>72</v>
      </c>
      <c r="I761" s="4"/>
      <c r="J761" s="4"/>
      <c r="K761" s="4">
        <v>205</v>
      </c>
      <c r="L761" s="4">
        <v>14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681877.15</v>
      </c>
      <c r="X761" s="4">
        <v>1</v>
      </c>
      <c r="Y761" s="4">
        <v>681877.15</v>
      </c>
      <c r="Z761" s="4"/>
      <c r="AA761" s="4"/>
      <c r="AB761" s="4"/>
    </row>
    <row r="762" spans="1:28" x14ac:dyDescent="0.2">
      <c r="A762" s="4">
        <v>50</v>
      </c>
      <c r="B762" s="4">
        <v>0</v>
      </c>
      <c r="C762" s="4">
        <v>0</v>
      </c>
      <c r="D762" s="4">
        <v>1</v>
      </c>
      <c r="E762" s="4">
        <v>232</v>
      </c>
      <c r="F762" s="4">
        <f>ROUND(Source!BC746,O762)</f>
        <v>0</v>
      </c>
      <c r="G762" s="4" t="s">
        <v>73</v>
      </c>
      <c r="H762" s="4" t="s">
        <v>74</v>
      </c>
      <c r="I762" s="4"/>
      <c r="J762" s="4"/>
      <c r="K762" s="4">
        <v>232</v>
      </c>
      <c r="L762" s="4">
        <v>15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0</v>
      </c>
      <c r="X762" s="4">
        <v>1</v>
      </c>
      <c r="Y762" s="4">
        <v>0</v>
      </c>
      <c r="Z762" s="4"/>
      <c r="AA762" s="4"/>
      <c r="AB762" s="4"/>
    </row>
    <row r="763" spans="1:28" x14ac:dyDescent="0.2">
      <c r="A763" s="4">
        <v>50</v>
      </c>
      <c r="B763" s="4">
        <v>0</v>
      </c>
      <c r="C763" s="4">
        <v>0</v>
      </c>
      <c r="D763" s="4">
        <v>1</v>
      </c>
      <c r="E763" s="4">
        <v>214</v>
      </c>
      <c r="F763" s="4">
        <f>ROUND(Source!AS746,O763)</f>
        <v>0</v>
      </c>
      <c r="G763" s="4" t="s">
        <v>75</v>
      </c>
      <c r="H763" s="4" t="s">
        <v>76</v>
      </c>
      <c r="I763" s="4"/>
      <c r="J763" s="4"/>
      <c r="K763" s="4">
        <v>214</v>
      </c>
      <c r="L763" s="4">
        <v>16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0</v>
      </c>
      <c r="X763" s="4">
        <v>1</v>
      </c>
      <c r="Y763" s="4">
        <v>0</v>
      </c>
      <c r="Z763" s="4"/>
      <c r="AA763" s="4"/>
      <c r="AB763" s="4"/>
    </row>
    <row r="764" spans="1:28" x14ac:dyDescent="0.2">
      <c r="A764" s="4">
        <v>50</v>
      </c>
      <c r="B764" s="4">
        <v>0</v>
      </c>
      <c r="C764" s="4">
        <v>0</v>
      </c>
      <c r="D764" s="4">
        <v>1</v>
      </c>
      <c r="E764" s="4">
        <v>215</v>
      </c>
      <c r="F764" s="4">
        <f>ROUND(Source!AT746,O764)</f>
        <v>0</v>
      </c>
      <c r="G764" s="4" t="s">
        <v>77</v>
      </c>
      <c r="H764" s="4" t="s">
        <v>78</v>
      </c>
      <c r="I764" s="4"/>
      <c r="J764" s="4"/>
      <c r="K764" s="4">
        <v>215</v>
      </c>
      <c r="L764" s="4">
        <v>17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8" x14ac:dyDescent="0.2">
      <c r="A765" s="4">
        <v>50</v>
      </c>
      <c r="B765" s="4">
        <v>0</v>
      </c>
      <c r="C765" s="4">
        <v>0</v>
      </c>
      <c r="D765" s="4">
        <v>1</v>
      </c>
      <c r="E765" s="4">
        <v>217</v>
      </c>
      <c r="F765" s="4">
        <f>ROUND(Source!AU746,O765)</f>
        <v>1250164.73</v>
      </c>
      <c r="G765" s="4" t="s">
        <v>79</v>
      </c>
      <c r="H765" s="4" t="s">
        <v>80</v>
      </c>
      <c r="I765" s="4"/>
      <c r="J765" s="4"/>
      <c r="K765" s="4">
        <v>217</v>
      </c>
      <c r="L765" s="4">
        <v>18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1250164.73</v>
      </c>
      <c r="X765" s="4">
        <v>1</v>
      </c>
      <c r="Y765" s="4">
        <v>1250164.73</v>
      </c>
      <c r="Z765" s="4"/>
      <c r="AA765" s="4"/>
      <c r="AB765" s="4"/>
    </row>
    <row r="766" spans="1:28" x14ac:dyDescent="0.2">
      <c r="A766" s="4">
        <v>50</v>
      </c>
      <c r="B766" s="4">
        <v>0</v>
      </c>
      <c r="C766" s="4">
        <v>0</v>
      </c>
      <c r="D766" s="4">
        <v>1</v>
      </c>
      <c r="E766" s="4">
        <v>230</v>
      </c>
      <c r="F766" s="4">
        <f>ROUND(Source!BA746,O766)</f>
        <v>0</v>
      </c>
      <c r="G766" s="4" t="s">
        <v>81</v>
      </c>
      <c r="H766" s="4" t="s">
        <v>82</v>
      </c>
      <c r="I766" s="4"/>
      <c r="J766" s="4"/>
      <c r="K766" s="4">
        <v>230</v>
      </c>
      <c r="L766" s="4">
        <v>19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0</v>
      </c>
      <c r="X766" s="4">
        <v>1</v>
      </c>
      <c r="Y766" s="4">
        <v>0</v>
      </c>
      <c r="Z766" s="4"/>
      <c r="AA766" s="4"/>
      <c r="AB766" s="4"/>
    </row>
    <row r="767" spans="1:28" x14ac:dyDescent="0.2">
      <c r="A767" s="4">
        <v>50</v>
      </c>
      <c r="B767" s="4">
        <v>0</v>
      </c>
      <c r="C767" s="4">
        <v>0</v>
      </c>
      <c r="D767" s="4">
        <v>1</v>
      </c>
      <c r="E767" s="4">
        <v>206</v>
      </c>
      <c r="F767" s="4">
        <f>ROUND(Source!T746,O767)</f>
        <v>0</v>
      </c>
      <c r="G767" s="4" t="s">
        <v>83</v>
      </c>
      <c r="H767" s="4" t="s">
        <v>84</v>
      </c>
      <c r="I767" s="4"/>
      <c r="J767" s="4"/>
      <c r="K767" s="4">
        <v>206</v>
      </c>
      <c r="L767" s="4">
        <v>20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8" x14ac:dyDescent="0.2">
      <c r="A768" s="4">
        <v>50</v>
      </c>
      <c r="B768" s="4">
        <v>0</v>
      </c>
      <c r="C768" s="4">
        <v>0</v>
      </c>
      <c r="D768" s="4">
        <v>1</v>
      </c>
      <c r="E768" s="4">
        <v>207</v>
      </c>
      <c r="F768" s="4">
        <f>Source!U746</f>
        <v>1098.8610800000001</v>
      </c>
      <c r="G768" s="4" t="s">
        <v>85</v>
      </c>
      <c r="H768" s="4" t="s">
        <v>86</v>
      </c>
      <c r="I768" s="4"/>
      <c r="J768" s="4"/>
      <c r="K768" s="4">
        <v>207</v>
      </c>
      <c r="L768" s="4">
        <v>21</v>
      </c>
      <c r="M768" s="4">
        <v>3</v>
      </c>
      <c r="N768" s="4" t="s">
        <v>3</v>
      </c>
      <c r="O768" s="4">
        <v>-1</v>
      </c>
      <c r="P768" s="4"/>
      <c r="Q768" s="4"/>
      <c r="R768" s="4"/>
      <c r="S768" s="4"/>
      <c r="T768" s="4"/>
      <c r="U768" s="4"/>
      <c r="V768" s="4"/>
      <c r="W768" s="4">
        <v>1098.8610800000001</v>
      </c>
      <c r="X768" s="4">
        <v>1</v>
      </c>
      <c r="Y768" s="4">
        <v>1098.8610800000001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208</v>
      </c>
      <c r="F769" s="4">
        <f>Source!V746</f>
        <v>0</v>
      </c>
      <c r="G769" s="4" t="s">
        <v>87</v>
      </c>
      <c r="H769" s="4" t="s">
        <v>88</v>
      </c>
      <c r="I769" s="4"/>
      <c r="J769" s="4"/>
      <c r="K769" s="4">
        <v>208</v>
      </c>
      <c r="L769" s="4">
        <v>22</v>
      </c>
      <c r="M769" s="4">
        <v>3</v>
      </c>
      <c r="N769" s="4" t="s">
        <v>3</v>
      </c>
      <c r="O769" s="4">
        <v>-1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209</v>
      </c>
      <c r="F770" s="4">
        <f>ROUND(Source!W746,O770)</f>
        <v>0</v>
      </c>
      <c r="G770" s="4" t="s">
        <v>89</v>
      </c>
      <c r="H770" s="4" t="s">
        <v>90</v>
      </c>
      <c r="I770" s="4"/>
      <c r="J770" s="4"/>
      <c r="K770" s="4">
        <v>209</v>
      </c>
      <c r="L770" s="4">
        <v>23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233</v>
      </c>
      <c r="F771" s="4">
        <f>ROUND(Source!BD746,O771)</f>
        <v>0</v>
      </c>
      <c r="G771" s="4" t="s">
        <v>91</v>
      </c>
      <c r="H771" s="4" t="s">
        <v>92</v>
      </c>
      <c r="I771" s="4"/>
      <c r="J771" s="4"/>
      <c r="K771" s="4">
        <v>233</v>
      </c>
      <c r="L771" s="4">
        <v>24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210</v>
      </c>
      <c r="F772" s="4">
        <f>ROUND(Source!X746,O772)</f>
        <v>477314.02</v>
      </c>
      <c r="G772" s="4" t="s">
        <v>93</v>
      </c>
      <c r="H772" s="4" t="s">
        <v>94</v>
      </c>
      <c r="I772" s="4"/>
      <c r="J772" s="4"/>
      <c r="K772" s="4">
        <v>210</v>
      </c>
      <c r="L772" s="4">
        <v>25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477314.02</v>
      </c>
      <c r="X772" s="4">
        <v>1</v>
      </c>
      <c r="Y772" s="4">
        <v>477314.02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211</v>
      </c>
      <c r="F773" s="4">
        <f>ROUND(Source!Y746,O773)</f>
        <v>68187.740000000005</v>
      </c>
      <c r="G773" s="4" t="s">
        <v>95</v>
      </c>
      <c r="H773" s="4" t="s">
        <v>96</v>
      </c>
      <c r="I773" s="4"/>
      <c r="J773" s="4"/>
      <c r="K773" s="4">
        <v>211</v>
      </c>
      <c r="L773" s="4">
        <v>26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68187.740000000005</v>
      </c>
      <c r="X773" s="4">
        <v>1</v>
      </c>
      <c r="Y773" s="4">
        <v>68187.740000000005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224</v>
      </c>
      <c r="F774" s="4">
        <f>ROUND(Source!AR746,O774)</f>
        <v>1250164.73</v>
      </c>
      <c r="G774" s="4" t="s">
        <v>97</v>
      </c>
      <c r="H774" s="4" t="s">
        <v>98</v>
      </c>
      <c r="I774" s="4"/>
      <c r="J774" s="4"/>
      <c r="K774" s="4">
        <v>224</v>
      </c>
      <c r="L774" s="4">
        <v>27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1250164.73</v>
      </c>
      <c r="X774" s="4">
        <v>1</v>
      </c>
      <c r="Y774" s="4">
        <v>1250164.73</v>
      </c>
      <c r="Z774" s="4"/>
      <c r="AA774" s="4"/>
      <c r="AB774" s="4"/>
    </row>
    <row r="775" spans="1:28" x14ac:dyDescent="0.2">
      <c r="A775" s="4">
        <v>50</v>
      </c>
      <c r="B775" s="4">
        <v>1</v>
      </c>
      <c r="C775" s="4">
        <v>0</v>
      </c>
      <c r="D775" s="4">
        <v>2</v>
      </c>
      <c r="E775" s="4">
        <v>0</v>
      </c>
      <c r="F775" s="4">
        <f>ROUND(F774,O775)</f>
        <v>1250164.73</v>
      </c>
      <c r="G775" s="4" t="s">
        <v>553</v>
      </c>
      <c r="H775" s="4" t="s">
        <v>554</v>
      </c>
      <c r="I775" s="4"/>
      <c r="J775" s="4"/>
      <c r="K775" s="4">
        <v>212</v>
      </c>
      <c r="L775" s="4">
        <v>28</v>
      </c>
      <c r="M775" s="4">
        <v>0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1250164.73</v>
      </c>
      <c r="X775" s="4">
        <v>1</v>
      </c>
      <c r="Y775" s="4">
        <v>1250164.73</v>
      </c>
      <c r="Z775" s="4"/>
      <c r="AA775" s="4"/>
      <c r="AB775" s="4"/>
    </row>
    <row r="776" spans="1:28" x14ac:dyDescent="0.2">
      <c r="A776" s="4">
        <v>50</v>
      </c>
      <c r="B776" s="4">
        <v>1</v>
      </c>
      <c r="C776" s="4">
        <v>0</v>
      </c>
      <c r="D776" s="4">
        <v>2</v>
      </c>
      <c r="E776" s="4">
        <v>0</v>
      </c>
      <c r="F776" s="4">
        <f>ROUND(F775*0.22,O776)</f>
        <v>275036.24</v>
      </c>
      <c r="G776" s="4" t="s">
        <v>555</v>
      </c>
      <c r="H776" s="4" t="s">
        <v>784</v>
      </c>
      <c r="I776" s="4"/>
      <c r="J776" s="4"/>
      <c r="K776" s="4">
        <v>212</v>
      </c>
      <c r="L776" s="4">
        <v>29</v>
      </c>
      <c r="M776" s="4">
        <v>0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250032.95</v>
      </c>
      <c r="X776" s="4">
        <v>1</v>
      </c>
      <c r="Y776" s="4">
        <v>250032.95</v>
      </c>
      <c r="Z776" s="4"/>
      <c r="AA776" s="4"/>
      <c r="AB776" s="4"/>
    </row>
    <row r="777" spans="1:28" x14ac:dyDescent="0.2">
      <c r="A777" s="4">
        <v>50</v>
      </c>
      <c r="B777" s="4">
        <v>1</v>
      </c>
      <c r="C777" s="4">
        <v>0</v>
      </c>
      <c r="D777" s="4">
        <v>2</v>
      </c>
      <c r="E777" s="4">
        <v>0</v>
      </c>
      <c r="F777" s="4">
        <f>ROUND(F775+F776,O777)</f>
        <v>1525200.97</v>
      </c>
      <c r="G777" s="4" t="s">
        <v>557</v>
      </c>
      <c r="H777" s="4" t="s">
        <v>558</v>
      </c>
      <c r="I777" s="4"/>
      <c r="J777" s="4"/>
      <c r="K777" s="4">
        <v>212</v>
      </c>
      <c r="L777" s="4">
        <v>30</v>
      </c>
      <c r="M777" s="4">
        <v>0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1500197.68</v>
      </c>
      <c r="X777" s="4">
        <v>1</v>
      </c>
      <c r="Y777" s="4">
        <v>1500197.68</v>
      </c>
      <c r="Z777" s="4"/>
      <c r="AA777" s="4"/>
      <c r="AB777" s="4"/>
    </row>
    <row r="779" spans="1:28" x14ac:dyDescent="0.2">
      <c r="A779" s="5">
        <v>61</v>
      </c>
      <c r="B779" s="5"/>
      <c r="C779" s="5"/>
      <c r="D779" s="5"/>
      <c r="E779" s="5"/>
      <c r="F779" s="5">
        <v>0</v>
      </c>
      <c r="G779" s="5" t="s">
        <v>3</v>
      </c>
      <c r="H779" s="5" t="s">
        <v>3</v>
      </c>
    </row>
    <row r="780" spans="1:28" x14ac:dyDescent="0.2">
      <c r="A780" s="5">
        <v>61</v>
      </c>
      <c r="B780" s="5"/>
      <c r="C780" s="5"/>
      <c r="D780" s="5"/>
      <c r="E780" s="5"/>
      <c r="F780" s="5">
        <v>0</v>
      </c>
      <c r="G780" s="5" t="s">
        <v>559</v>
      </c>
      <c r="H780" s="5" t="s">
        <v>560</v>
      </c>
    </row>
    <row r="783" spans="1:28" x14ac:dyDescent="0.2">
      <c r="A783">
        <v>-1</v>
      </c>
    </row>
    <row r="785" spans="1:15" x14ac:dyDescent="0.2">
      <c r="A785" s="3">
        <v>75</v>
      </c>
      <c r="B785" s="3" t="s">
        <v>561</v>
      </c>
      <c r="C785" s="3">
        <v>2025</v>
      </c>
      <c r="D785" s="3">
        <v>0</v>
      </c>
      <c r="E785" s="3">
        <v>10</v>
      </c>
      <c r="F785" s="3">
        <v>0</v>
      </c>
      <c r="G785" s="3">
        <v>0</v>
      </c>
      <c r="H785" s="3">
        <v>1</v>
      </c>
      <c r="I785" s="3">
        <v>0</v>
      </c>
      <c r="J785" s="3">
        <v>1</v>
      </c>
      <c r="K785" s="3">
        <v>78</v>
      </c>
      <c r="L785" s="3">
        <v>30</v>
      </c>
      <c r="M785" s="3">
        <v>0</v>
      </c>
      <c r="N785" s="3">
        <v>1471988752</v>
      </c>
      <c r="O785" s="3">
        <v>1</v>
      </c>
    </row>
    <row r="789" spans="1:15" x14ac:dyDescent="0.2">
      <c r="A789">
        <v>65</v>
      </c>
      <c r="C789">
        <v>1</v>
      </c>
      <c r="D789">
        <v>0</v>
      </c>
      <c r="E78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562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1471988752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12</v>
      </c>
      <c r="D16" s="6" t="s">
        <v>12</v>
      </c>
      <c r="E16" s="7">
        <f>ROUND((Source!F733)/1000,2)</f>
        <v>0</v>
      </c>
      <c r="F16" s="7">
        <f>ROUND((Source!F734)/1000,2)</f>
        <v>0</v>
      </c>
      <c r="G16" s="7">
        <f>ROUND((Source!F725)/1000,2)</f>
        <v>0</v>
      </c>
      <c r="H16" s="7">
        <f>ROUND((Source!F735)/1000+(Source!F736)/1000,2)</f>
        <v>1250.1600000000001</v>
      </c>
      <c r="I16" s="7">
        <f>E16+F16+G16+H16</f>
        <v>1250.1600000000001</v>
      </c>
      <c r="J16" s="7">
        <f>ROUND((Source!F731+Source!F730)/1000,2)</f>
        <v>686.22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699970.64</v>
      </c>
      <c r="AU16" s="7">
        <v>11195.82</v>
      </c>
      <c r="AV16" s="7">
        <v>0</v>
      </c>
      <c r="AW16" s="7">
        <v>0</v>
      </c>
      <c r="AX16" s="7">
        <v>0</v>
      </c>
      <c r="AY16" s="7">
        <v>6897.67</v>
      </c>
      <c r="AZ16" s="7">
        <v>4344.75</v>
      </c>
      <c r="BA16" s="7">
        <v>681877.15</v>
      </c>
      <c r="BB16" s="7">
        <v>0</v>
      </c>
      <c r="BC16" s="7">
        <v>0</v>
      </c>
      <c r="BD16" s="7">
        <v>1250164.73</v>
      </c>
      <c r="BE16" s="7">
        <v>0</v>
      </c>
      <c r="BF16" s="7">
        <v>1098.8610800000001</v>
      </c>
      <c r="BG16" s="7">
        <v>0</v>
      </c>
      <c r="BH16" s="7">
        <v>0</v>
      </c>
      <c r="BI16" s="7">
        <v>477314.02</v>
      </c>
      <c r="BJ16" s="7">
        <v>68187.740000000005</v>
      </c>
      <c r="BK16" s="7">
        <v>1250164.73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1250.1600000000001</v>
      </c>
      <c r="I18" s="5">
        <f>SUMIF(A16:A17,3,I16:I17)</f>
        <v>1250.1600000000001</v>
      </c>
      <c r="J18" s="5">
        <f>SUMIF(A16:A17,3,J16:J17)</f>
        <v>686.22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699970.64</v>
      </c>
      <c r="G20" s="4" t="s">
        <v>45</v>
      </c>
      <c r="H20" s="4" t="s">
        <v>46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11195.82</v>
      </c>
      <c r="G21" s="4" t="s">
        <v>47</v>
      </c>
      <c r="H21" s="4" t="s">
        <v>48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49</v>
      </c>
      <c r="H22" s="4" t="s">
        <v>50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11195.82</v>
      </c>
      <c r="G23" s="4" t="s">
        <v>51</v>
      </c>
      <c r="H23" s="4" t="s">
        <v>52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11195.82</v>
      </c>
      <c r="G24" s="4" t="s">
        <v>53</v>
      </c>
      <c r="H24" s="4" t="s">
        <v>54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55</v>
      </c>
      <c r="H25" s="4" t="s">
        <v>56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11195.82</v>
      </c>
      <c r="G26" s="4" t="s">
        <v>57</v>
      </c>
      <c r="H26" s="4" t="s">
        <v>58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59</v>
      </c>
      <c r="H27" s="4" t="s">
        <v>60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61</v>
      </c>
      <c r="H28" s="4" t="s">
        <v>62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63</v>
      </c>
      <c r="H29" s="4" t="s">
        <v>64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6897.67</v>
      </c>
      <c r="G30" s="4" t="s">
        <v>65</v>
      </c>
      <c r="H30" s="4" t="s">
        <v>66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67</v>
      </c>
      <c r="H31" s="4" t="s">
        <v>68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4344.75</v>
      </c>
      <c r="G32" s="4" t="s">
        <v>69</v>
      </c>
      <c r="H32" s="4" t="s">
        <v>70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681877.15</v>
      </c>
      <c r="G33" s="4" t="s">
        <v>71</v>
      </c>
      <c r="H33" s="4" t="s">
        <v>72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73</v>
      </c>
      <c r="H34" s="4" t="s">
        <v>74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75</v>
      </c>
      <c r="H35" s="4" t="s">
        <v>76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77</v>
      </c>
      <c r="H36" s="4" t="s">
        <v>78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1250164.73</v>
      </c>
      <c r="G37" s="4" t="s">
        <v>79</v>
      </c>
      <c r="H37" s="4" t="s">
        <v>80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81</v>
      </c>
      <c r="H38" s="4" t="s">
        <v>82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83</v>
      </c>
      <c r="H39" s="4" t="s">
        <v>84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1098.8610800000001</v>
      </c>
      <c r="G40" s="4" t="s">
        <v>85</v>
      </c>
      <c r="H40" s="4" t="s">
        <v>86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87</v>
      </c>
      <c r="H41" s="4" t="s">
        <v>88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89</v>
      </c>
      <c r="H42" s="4" t="s">
        <v>90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91</v>
      </c>
      <c r="H43" s="4" t="s">
        <v>92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477314.02</v>
      </c>
      <c r="G44" s="4" t="s">
        <v>93</v>
      </c>
      <c r="H44" s="4" t="s">
        <v>94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68187.740000000005</v>
      </c>
      <c r="G45" s="4" t="s">
        <v>95</v>
      </c>
      <c r="H45" s="4" t="s">
        <v>96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1250164.73</v>
      </c>
      <c r="G46" s="4" t="s">
        <v>97</v>
      </c>
      <c r="H46" s="4" t="s">
        <v>98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1250164.73</v>
      </c>
      <c r="G47" s="4" t="s">
        <v>553</v>
      </c>
      <c r="H47" s="4" t="s">
        <v>554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250032.95</v>
      </c>
      <c r="G48" s="4" t="s">
        <v>555</v>
      </c>
      <c r="H48" s="4" t="s">
        <v>556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1500197.68</v>
      </c>
      <c r="G49" s="4" t="s">
        <v>557</v>
      </c>
      <c r="H49" s="4" t="s">
        <v>558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561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1471988752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42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1471994083</v>
      </c>
      <c r="C1">
        <v>1471750883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563</v>
      </c>
      <c r="J1" t="s">
        <v>3</v>
      </c>
      <c r="K1" t="s">
        <v>564</v>
      </c>
      <c r="L1">
        <v>1191</v>
      </c>
      <c r="N1">
        <v>1013</v>
      </c>
      <c r="O1" t="s">
        <v>565</v>
      </c>
      <c r="P1" t="s">
        <v>565</v>
      </c>
      <c r="Q1">
        <v>1</v>
      </c>
      <c r="X1">
        <v>29.54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29.54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1471994084</v>
      </c>
      <c r="C2">
        <v>1471750883</v>
      </c>
      <c r="D2">
        <v>1441835469</v>
      </c>
      <c r="E2">
        <v>1</v>
      </c>
      <c r="F2">
        <v>1</v>
      </c>
      <c r="G2">
        <v>15514512</v>
      </c>
      <c r="H2">
        <v>3</v>
      </c>
      <c r="I2" t="s">
        <v>566</v>
      </c>
      <c r="J2" t="s">
        <v>567</v>
      </c>
      <c r="K2" t="s">
        <v>568</v>
      </c>
      <c r="L2">
        <v>1348</v>
      </c>
      <c r="N2">
        <v>1009</v>
      </c>
      <c r="O2" t="s">
        <v>569</v>
      </c>
      <c r="P2" t="s">
        <v>569</v>
      </c>
      <c r="Q2">
        <v>1000</v>
      </c>
      <c r="X2">
        <v>5.0000000000000001E-3</v>
      </c>
      <c r="Y2">
        <v>163237.26999999999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5.0000000000000001E-3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1471994085</v>
      </c>
      <c r="C3">
        <v>1471750883</v>
      </c>
      <c r="D3">
        <v>1441836514</v>
      </c>
      <c r="E3">
        <v>1</v>
      </c>
      <c r="F3">
        <v>1</v>
      </c>
      <c r="G3">
        <v>15514512</v>
      </c>
      <c r="H3">
        <v>3</v>
      </c>
      <c r="I3" t="s">
        <v>570</v>
      </c>
      <c r="J3" t="s">
        <v>571</v>
      </c>
      <c r="K3" t="s">
        <v>572</v>
      </c>
      <c r="L3">
        <v>1339</v>
      </c>
      <c r="N3">
        <v>1007</v>
      </c>
      <c r="O3" t="s">
        <v>573</v>
      </c>
      <c r="P3" t="s">
        <v>573</v>
      </c>
      <c r="Q3">
        <v>1</v>
      </c>
      <c r="X3">
        <v>7.8</v>
      </c>
      <c r="Y3">
        <v>54.81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7.8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1471994087</v>
      </c>
      <c r="C4">
        <v>1471750883</v>
      </c>
      <c r="D4">
        <v>1441847238</v>
      </c>
      <c r="E4">
        <v>1</v>
      </c>
      <c r="F4">
        <v>1</v>
      </c>
      <c r="G4">
        <v>15514512</v>
      </c>
      <c r="H4">
        <v>3</v>
      </c>
      <c r="I4" t="s">
        <v>574</v>
      </c>
      <c r="J4" t="s">
        <v>575</v>
      </c>
      <c r="K4" t="s">
        <v>576</v>
      </c>
      <c r="L4">
        <v>1346</v>
      </c>
      <c r="N4">
        <v>1009</v>
      </c>
      <c r="O4" t="s">
        <v>577</v>
      </c>
      <c r="P4" t="s">
        <v>577</v>
      </c>
      <c r="Q4">
        <v>1</v>
      </c>
      <c r="X4">
        <v>2</v>
      </c>
      <c r="Y4">
        <v>742.26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2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1471994101</v>
      </c>
      <c r="C5">
        <v>1471750897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563</v>
      </c>
      <c r="J5" t="s">
        <v>3</v>
      </c>
      <c r="K5" t="s">
        <v>564</v>
      </c>
      <c r="L5">
        <v>1191</v>
      </c>
      <c r="N5">
        <v>1013</v>
      </c>
      <c r="O5" t="s">
        <v>565</v>
      </c>
      <c r="P5" t="s">
        <v>565</v>
      </c>
      <c r="Q5">
        <v>1</v>
      </c>
      <c r="X5">
        <v>0.9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25</v>
      </c>
      <c r="AG5">
        <v>3.6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1471994121</v>
      </c>
      <c r="C6">
        <v>1471750902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563</v>
      </c>
      <c r="J6" t="s">
        <v>3</v>
      </c>
      <c r="K6" t="s">
        <v>564</v>
      </c>
      <c r="L6">
        <v>1191</v>
      </c>
      <c r="N6">
        <v>1013</v>
      </c>
      <c r="O6" t="s">
        <v>565</v>
      </c>
      <c r="P6" t="s">
        <v>565</v>
      </c>
      <c r="Q6">
        <v>1</v>
      </c>
      <c r="X6">
        <v>2.64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25</v>
      </c>
      <c r="AG6">
        <v>10.56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1471994147</v>
      </c>
      <c r="C7">
        <v>1471750906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563</v>
      </c>
      <c r="J7" t="s">
        <v>3</v>
      </c>
      <c r="K7" t="s">
        <v>564</v>
      </c>
      <c r="L7">
        <v>1191</v>
      </c>
      <c r="N7">
        <v>1013</v>
      </c>
      <c r="O7" t="s">
        <v>565</v>
      </c>
      <c r="P7" t="s">
        <v>565</v>
      </c>
      <c r="Q7">
        <v>1</v>
      </c>
      <c r="X7">
        <v>0.82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25</v>
      </c>
      <c r="AG7">
        <v>3.28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1471994171</v>
      </c>
      <c r="C8">
        <v>1471750910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563</v>
      </c>
      <c r="J8" t="s">
        <v>3</v>
      </c>
      <c r="K8" t="s">
        <v>564</v>
      </c>
      <c r="L8">
        <v>1191</v>
      </c>
      <c r="N8">
        <v>1013</v>
      </c>
      <c r="O8" t="s">
        <v>565</v>
      </c>
      <c r="P8" t="s">
        <v>565</v>
      </c>
      <c r="Q8">
        <v>1</v>
      </c>
      <c r="X8">
        <v>0.14000000000000001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0.14000000000000001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1471994172</v>
      </c>
      <c r="C9">
        <v>1471750910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578</v>
      </c>
      <c r="J9" t="s">
        <v>579</v>
      </c>
      <c r="K9" t="s">
        <v>580</v>
      </c>
      <c r="L9">
        <v>1346</v>
      </c>
      <c r="N9">
        <v>1009</v>
      </c>
      <c r="O9" t="s">
        <v>577</v>
      </c>
      <c r="P9" t="s">
        <v>577</v>
      </c>
      <c r="Q9">
        <v>1</v>
      </c>
      <c r="X9">
        <v>0.01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0.01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1471994209</v>
      </c>
      <c r="C10">
        <v>1471750917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563</v>
      </c>
      <c r="J10" t="s">
        <v>3</v>
      </c>
      <c r="K10" t="s">
        <v>564</v>
      </c>
      <c r="L10">
        <v>1191</v>
      </c>
      <c r="N10">
        <v>1013</v>
      </c>
      <c r="O10" t="s">
        <v>565</v>
      </c>
      <c r="P10" t="s">
        <v>565</v>
      </c>
      <c r="Q10">
        <v>1</v>
      </c>
      <c r="X10">
        <v>0.61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0.61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1471994243</v>
      </c>
      <c r="C11">
        <v>1471750921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563</v>
      </c>
      <c r="J11" t="s">
        <v>3</v>
      </c>
      <c r="K11" t="s">
        <v>564</v>
      </c>
      <c r="L11">
        <v>1191</v>
      </c>
      <c r="N11">
        <v>1013</v>
      </c>
      <c r="O11" t="s">
        <v>565</v>
      </c>
      <c r="P11" t="s">
        <v>565</v>
      </c>
      <c r="Q11">
        <v>1</v>
      </c>
      <c r="X11">
        <v>0.73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25</v>
      </c>
      <c r="AG11">
        <v>2.92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ROW(Source!A74)</f>
        <v>74</v>
      </c>
      <c r="B12">
        <v>1471994303</v>
      </c>
      <c r="C12">
        <v>1471750925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563</v>
      </c>
      <c r="J12" t="s">
        <v>3</v>
      </c>
      <c r="K12" t="s">
        <v>564</v>
      </c>
      <c r="L12">
        <v>1191</v>
      </c>
      <c r="N12">
        <v>1013</v>
      </c>
      <c r="O12" t="s">
        <v>565</v>
      </c>
      <c r="P12" t="s">
        <v>565</v>
      </c>
      <c r="Q12">
        <v>1</v>
      </c>
      <c r="X12">
        <v>637.70000000000005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106</v>
      </c>
      <c r="AG12">
        <v>212.56666666666669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1471994305</v>
      </c>
      <c r="C13">
        <v>1471750925</v>
      </c>
      <c r="D13">
        <v>1441835475</v>
      </c>
      <c r="E13">
        <v>1</v>
      </c>
      <c r="F13">
        <v>1</v>
      </c>
      <c r="G13">
        <v>15514512</v>
      </c>
      <c r="H13">
        <v>3</v>
      </c>
      <c r="I13" t="s">
        <v>581</v>
      </c>
      <c r="J13" t="s">
        <v>582</v>
      </c>
      <c r="K13" t="s">
        <v>583</v>
      </c>
      <c r="L13">
        <v>1348</v>
      </c>
      <c r="N13">
        <v>1009</v>
      </c>
      <c r="O13" t="s">
        <v>569</v>
      </c>
      <c r="P13" t="s">
        <v>569</v>
      </c>
      <c r="Q13">
        <v>1000</v>
      </c>
      <c r="X13">
        <v>7.4000000000000003E-3</v>
      </c>
      <c r="Y13">
        <v>155908.07999999999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106</v>
      </c>
      <c r="AG13">
        <v>2.4666666666666669E-3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ROW(Source!A74)</f>
        <v>74</v>
      </c>
      <c r="B14">
        <v>1471994306</v>
      </c>
      <c r="C14">
        <v>1471750925</v>
      </c>
      <c r="D14">
        <v>1441835549</v>
      </c>
      <c r="E14">
        <v>1</v>
      </c>
      <c r="F14">
        <v>1</v>
      </c>
      <c r="G14">
        <v>15514512</v>
      </c>
      <c r="H14">
        <v>3</v>
      </c>
      <c r="I14" t="s">
        <v>584</v>
      </c>
      <c r="J14" t="s">
        <v>585</v>
      </c>
      <c r="K14" t="s">
        <v>586</v>
      </c>
      <c r="L14">
        <v>1348</v>
      </c>
      <c r="N14">
        <v>1009</v>
      </c>
      <c r="O14" t="s">
        <v>569</v>
      </c>
      <c r="P14" t="s">
        <v>569</v>
      </c>
      <c r="Q14">
        <v>1000</v>
      </c>
      <c r="X14">
        <v>1.5E-3</v>
      </c>
      <c r="Y14">
        <v>194655.19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106</v>
      </c>
      <c r="AG14">
        <v>5.0000000000000001E-4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ROW(Source!A74)</f>
        <v>74</v>
      </c>
      <c r="B15">
        <v>1471994308</v>
      </c>
      <c r="C15">
        <v>1471750925</v>
      </c>
      <c r="D15">
        <v>1441836325</v>
      </c>
      <c r="E15">
        <v>1</v>
      </c>
      <c r="F15">
        <v>1</v>
      </c>
      <c r="G15">
        <v>15514512</v>
      </c>
      <c r="H15">
        <v>3</v>
      </c>
      <c r="I15" t="s">
        <v>587</v>
      </c>
      <c r="J15" t="s">
        <v>588</v>
      </c>
      <c r="K15" t="s">
        <v>589</v>
      </c>
      <c r="L15">
        <v>1348</v>
      </c>
      <c r="N15">
        <v>1009</v>
      </c>
      <c r="O15" t="s">
        <v>569</v>
      </c>
      <c r="P15" t="s">
        <v>569</v>
      </c>
      <c r="Q15">
        <v>1000</v>
      </c>
      <c r="X15">
        <v>2.2000000000000001E-3</v>
      </c>
      <c r="Y15">
        <v>108798.39999999999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106</v>
      </c>
      <c r="AG15">
        <v>7.3333333333333334E-4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ROW(Source!A74)</f>
        <v>74</v>
      </c>
      <c r="B16">
        <v>1471994309</v>
      </c>
      <c r="C16">
        <v>1471750925</v>
      </c>
      <c r="D16">
        <v>1441838759</v>
      </c>
      <c r="E16">
        <v>1</v>
      </c>
      <c r="F16">
        <v>1</v>
      </c>
      <c r="G16">
        <v>15514512</v>
      </c>
      <c r="H16">
        <v>3</v>
      </c>
      <c r="I16" t="s">
        <v>590</v>
      </c>
      <c r="J16" t="s">
        <v>591</v>
      </c>
      <c r="K16" t="s">
        <v>592</v>
      </c>
      <c r="L16">
        <v>1348</v>
      </c>
      <c r="N16">
        <v>1009</v>
      </c>
      <c r="O16" t="s">
        <v>569</v>
      </c>
      <c r="P16" t="s">
        <v>569</v>
      </c>
      <c r="Q16">
        <v>1000</v>
      </c>
      <c r="X16">
        <v>4.5999999999999999E-3</v>
      </c>
      <c r="Y16">
        <v>1590701.16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106</v>
      </c>
      <c r="AG16">
        <v>1.5333333333333334E-3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ROW(Source!A74)</f>
        <v>74</v>
      </c>
      <c r="B17">
        <v>1471994311</v>
      </c>
      <c r="C17">
        <v>1471750925</v>
      </c>
      <c r="D17">
        <v>1441834635</v>
      </c>
      <c r="E17">
        <v>1</v>
      </c>
      <c r="F17">
        <v>1</v>
      </c>
      <c r="G17">
        <v>15514512</v>
      </c>
      <c r="H17">
        <v>3</v>
      </c>
      <c r="I17" t="s">
        <v>593</v>
      </c>
      <c r="J17" t="s">
        <v>594</v>
      </c>
      <c r="K17" t="s">
        <v>595</v>
      </c>
      <c r="L17">
        <v>1339</v>
      </c>
      <c r="N17">
        <v>1007</v>
      </c>
      <c r="O17" t="s">
        <v>573</v>
      </c>
      <c r="P17" t="s">
        <v>573</v>
      </c>
      <c r="Q17">
        <v>1</v>
      </c>
      <c r="X17">
        <v>23.2</v>
      </c>
      <c r="Y17">
        <v>103.4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106</v>
      </c>
      <c r="AG17">
        <v>7.7333333333333334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ROW(Source!A74)</f>
        <v>74</v>
      </c>
      <c r="B18">
        <v>1471994312</v>
      </c>
      <c r="C18">
        <v>1471750925</v>
      </c>
      <c r="D18">
        <v>1441834627</v>
      </c>
      <c r="E18">
        <v>1</v>
      </c>
      <c r="F18">
        <v>1</v>
      </c>
      <c r="G18">
        <v>15514512</v>
      </c>
      <c r="H18">
        <v>3</v>
      </c>
      <c r="I18" t="s">
        <v>596</v>
      </c>
      <c r="J18" t="s">
        <v>597</v>
      </c>
      <c r="K18" t="s">
        <v>598</v>
      </c>
      <c r="L18">
        <v>1339</v>
      </c>
      <c r="N18">
        <v>1007</v>
      </c>
      <c r="O18" t="s">
        <v>573</v>
      </c>
      <c r="P18" t="s">
        <v>573</v>
      </c>
      <c r="Q18">
        <v>1</v>
      </c>
      <c r="X18">
        <v>13.1</v>
      </c>
      <c r="Y18">
        <v>875.46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106</v>
      </c>
      <c r="AG18">
        <v>4.3666666666666663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ROW(Source!A74)</f>
        <v>74</v>
      </c>
      <c r="B19">
        <v>1471994314</v>
      </c>
      <c r="C19">
        <v>1471750925</v>
      </c>
      <c r="D19">
        <v>1441834671</v>
      </c>
      <c r="E19">
        <v>1</v>
      </c>
      <c r="F19">
        <v>1</v>
      </c>
      <c r="G19">
        <v>15514512</v>
      </c>
      <c r="H19">
        <v>3</v>
      </c>
      <c r="I19" t="s">
        <v>599</v>
      </c>
      <c r="J19" t="s">
        <v>600</v>
      </c>
      <c r="K19" t="s">
        <v>601</v>
      </c>
      <c r="L19">
        <v>1348</v>
      </c>
      <c r="N19">
        <v>1009</v>
      </c>
      <c r="O19" t="s">
        <v>569</v>
      </c>
      <c r="P19" t="s">
        <v>569</v>
      </c>
      <c r="Q19">
        <v>1000</v>
      </c>
      <c r="X19">
        <v>1.1999999999999999E-3</v>
      </c>
      <c r="Y19">
        <v>184462.17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106</v>
      </c>
      <c r="AG19">
        <v>3.9999999999999996E-4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ROW(Source!A74)</f>
        <v>74</v>
      </c>
      <c r="B20">
        <v>1471994315</v>
      </c>
      <c r="C20">
        <v>1471750925</v>
      </c>
      <c r="D20">
        <v>1441834634</v>
      </c>
      <c r="E20">
        <v>1</v>
      </c>
      <c r="F20">
        <v>1</v>
      </c>
      <c r="G20">
        <v>15514512</v>
      </c>
      <c r="H20">
        <v>3</v>
      </c>
      <c r="I20" t="s">
        <v>602</v>
      </c>
      <c r="J20" t="s">
        <v>603</v>
      </c>
      <c r="K20" t="s">
        <v>604</v>
      </c>
      <c r="L20">
        <v>1348</v>
      </c>
      <c r="N20">
        <v>1009</v>
      </c>
      <c r="O20" t="s">
        <v>569</v>
      </c>
      <c r="P20" t="s">
        <v>569</v>
      </c>
      <c r="Q20">
        <v>1000</v>
      </c>
      <c r="X20">
        <v>2.5000000000000001E-3</v>
      </c>
      <c r="Y20">
        <v>88053.759999999995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106</v>
      </c>
      <c r="AG20">
        <v>8.3333333333333339E-4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ROW(Source!A74)</f>
        <v>74</v>
      </c>
      <c r="B21">
        <v>1471994317</v>
      </c>
      <c r="C21">
        <v>1471750925</v>
      </c>
      <c r="D21">
        <v>1441834836</v>
      </c>
      <c r="E21">
        <v>1</v>
      </c>
      <c r="F21">
        <v>1</v>
      </c>
      <c r="G21">
        <v>15514512</v>
      </c>
      <c r="H21">
        <v>3</v>
      </c>
      <c r="I21" t="s">
        <v>605</v>
      </c>
      <c r="J21" t="s">
        <v>606</v>
      </c>
      <c r="K21" t="s">
        <v>607</v>
      </c>
      <c r="L21">
        <v>1348</v>
      </c>
      <c r="N21">
        <v>1009</v>
      </c>
      <c r="O21" t="s">
        <v>569</v>
      </c>
      <c r="P21" t="s">
        <v>569</v>
      </c>
      <c r="Q21">
        <v>1000</v>
      </c>
      <c r="X21">
        <v>1.1299999999999999E-2</v>
      </c>
      <c r="Y21">
        <v>93194.67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106</v>
      </c>
      <c r="AG21">
        <v>3.7666666666666664E-3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ROW(Source!A74)</f>
        <v>74</v>
      </c>
      <c r="B22">
        <v>1471994319</v>
      </c>
      <c r="C22">
        <v>1471750925</v>
      </c>
      <c r="D22">
        <v>1441834853</v>
      </c>
      <c r="E22">
        <v>1</v>
      </c>
      <c r="F22">
        <v>1</v>
      </c>
      <c r="G22">
        <v>15514512</v>
      </c>
      <c r="H22">
        <v>3</v>
      </c>
      <c r="I22" t="s">
        <v>608</v>
      </c>
      <c r="J22" t="s">
        <v>609</v>
      </c>
      <c r="K22" t="s">
        <v>610</v>
      </c>
      <c r="L22">
        <v>1348</v>
      </c>
      <c r="N22">
        <v>1009</v>
      </c>
      <c r="O22" t="s">
        <v>569</v>
      </c>
      <c r="P22" t="s">
        <v>569</v>
      </c>
      <c r="Q22">
        <v>1000</v>
      </c>
      <c r="X22">
        <v>6.7999999999999996E-3</v>
      </c>
      <c r="Y22">
        <v>78065.73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106</v>
      </c>
      <c r="AG22">
        <v>2.2666666666666664E-3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ROW(Source!A74)</f>
        <v>74</v>
      </c>
      <c r="B23">
        <v>1471994320</v>
      </c>
      <c r="C23">
        <v>1471750925</v>
      </c>
      <c r="D23">
        <v>1441822273</v>
      </c>
      <c r="E23">
        <v>15514512</v>
      </c>
      <c r="F23">
        <v>1</v>
      </c>
      <c r="G23">
        <v>15514512</v>
      </c>
      <c r="H23">
        <v>3</v>
      </c>
      <c r="I23" t="s">
        <v>611</v>
      </c>
      <c r="J23" t="s">
        <v>3</v>
      </c>
      <c r="K23" t="s">
        <v>612</v>
      </c>
      <c r="L23">
        <v>1348</v>
      </c>
      <c r="N23">
        <v>1009</v>
      </c>
      <c r="O23" t="s">
        <v>569</v>
      </c>
      <c r="P23" t="s">
        <v>569</v>
      </c>
      <c r="Q23">
        <v>1000</v>
      </c>
      <c r="X23">
        <v>1.1999999999999999E-3</v>
      </c>
      <c r="Y23">
        <v>94640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106</v>
      </c>
      <c r="AG23">
        <v>3.9999999999999996E-4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ROW(Source!A75)</f>
        <v>75</v>
      </c>
      <c r="B24">
        <v>1471994356</v>
      </c>
      <c r="C24">
        <v>1471750962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563</v>
      </c>
      <c r="J24" t="s">
        <v>3</v>
      </c>
      <c r="K24" t="s">
        <v>564</v>
      </c>
      <c r="L24">
        <v>1191</v>
      </c>
      <c r="N24">
        <v>1013</v>
      </c>
      <c r="O24" t="s">
        <v>565</v>
      </c>
      <c r="P24" t="s">
        <v>565</v>
      </c>
      <c r="Q24">
        <v>1</v>
      </c>
      <c r="X24">
        <v>0.95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0.95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ROW(Source!A75)</f>
        <v>75</v>
      </c>
      <c r="B25">
        <v>1471994357</v>
      </c>
      <c r="C25">
        <v>1471750962</v>
      </c>
      <c r="D25">
        <v>1441834258</v>
      </c>
      <c r="E25">
        <v>1</v>
      </c>
      <c r="F25">
        <v>1</v>
      </c>
      <c r="G25">
        <v>15514512</v>
      </c>
      <c r="H25">
        <v>2</v>
      </c>
      <c r="I25" t="s">
        <v>613</v>
      </c>
      <c r="J25" t="s">
        <v>614</v>
      </c>
      <c r="K25" t="s">
        <v>615</v>
      </c>
      <c r="L25">
        <v>1368</v>
      </c>
      <c r="N25">
        <v>1011</v>
      </c>
      <c r="O25" t="s">
        <v>616</v>
      </c>
      <c r="P25" t="s">
        <v>616</v>
      </c>
      <c r="Q25">
        <v>1</v>
      </c>
      <c r="X25">
        <v>0.74</v>
      </c>
      <c r="Y25">
        <v>0</v>
      </c>
      <c r="Z25">
        <v>1303.01</v>
      </c>
      <c r="AA25">
        <v>826.2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0.74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ROW(Source!A75)</f>
        <v>75</v>
      </c>
      <c r="B26">
        <v>1471994358</v>
      </c>
      <c r="C26">
        <v>1471750962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578</v>
      </c>
      <c r="J26" t="s">
        <v>579</v>
      </c>
      <c r="K26" t="s">
        <v>580</v>
      </c>
      <c r="L26">
        <v>1346</v>
      </c>
      <c r="N26">
        <v>1009</v>
      </c>
      <c r="O26" t="s">
        <v>577</v>
      </c>
      <c r="P26" t="s">
        <v>577</v>
      </c>
      <c r="Q26">
        <v>1</v>
      </c>
      <c r="X26">
        <v>0.1</v>
      </c>
      <c r="Y26">
        <v>31.49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ROW(Source!A112)</f>
        <v>112</v>
      </c>
      <c r="B27">
        <v>1471994378</v>
      </c>
      <c r="C27">
        <v>1471750973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563</v>
      </c>
      <c r="J27" t="s">
        <v>3</v>
      </c>
      <c r="K27" t="s">
        <v>564</v>
      </c>
      <c r="L27">
        <v>1191</v>
      </c>
      <c r="N27">
        <v>1013</v>
      </c>
      <c r="O27" t="s">
        <v>565</v>
      </c>
      <c r="P27" t="s">
        <v>565</v>
      </c>
      <c r="Q27">
        <v>1</v>
      </c>
      <c r="X27">
        <v>1.06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117</v>
      </c>
      <c r="AG27">
        <v>2.12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ROW(Source!A113)</f>
        <v>113</v>
      </c>
      <c r="B28">
        <v>1471994410</v>
      </c>
      <c r="C28">
        <v>1471750977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563</v>
      </c>
      <c r="J28" t="s">
        <v>3</v>
      </c>
      <c r="K28" t="s">
        <v>564</v>
      </c>
      <c r="L28">
        <v>1191</v>
      </c>
      <c r="N28">
        <v>1013</v>
      </c>
      <c r="O28" t="s">
        <v>565</v>
      </c>
      <c r="P28" t="s">
        <v>565</v>
      </c>
      <c r="Q28">
        <v>1</v>
      </c>
      <c r="X28">
        <v>0.7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0.7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ROW(Source!A114)</f>
        <v>114</v>
      </c>
      <c r="B29">
        <v>1471994424</v>
      </c>
      <c r="C29">
        <v>1471829488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563</v>
      </c>
      <c r="J29" t="s">
        <v>3</v>
      </c>
      <c r="K29" t="s">
        <v>564</v>
      </c>
      <c r="L29">
        <v>1191</v>
      </c>
      <c r="N29">
        <v>1013</v>
      </c>
      <c r="O29" t="s">
        <v>565</v>
      </c>
      <c r="P29" t="s">
        <v>565</v>
      </c>
      <c r="Q29">
        <v>1</v>
      </c>
      <c r="X29">
        <v>1.8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117</v>
      </c>
      <c r="AG29">
        <v>3.6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ROW(Source!A114)</f>
        <v>114</v>
      </c>
      <c r="B30">
        <v>1471994425</v>
      </c>
      <c r="C30">
        <v>1471829488</v>
      </c>
      <c r="D30">
        <v>1441836187</v>
      </c>
      <c r="E30">
        <v>1</v>
      </c>
      <c r="F30">
        <v>1</v>
      </c>
      <c r="G30">
        <v>15514512</v>
      </c>
      <c r="H30">
        <v>3</v>
      </c>
      <c r="I30" t="s">
        <v>617</v>
      </c>
      <c r="J30" t="s">
        <v>618</v>
      </c>
      <c r="K30" t="s">
        <v>619</v>
      </c>
      <c r="L30">
        <v>1346</v>
      </c>
      <c r="N30">
        <v>1009</v>
      </c>
      <c r="O30" t="s">
        <v>577</v>
      </c>
      <c r="P30" t="s">
        <v>577</v>
      </c>
      <c r="Q30">
        <v>1</v>
      </c>
      <c r="X30">
        <v>8.0000000000000002E-3</v>
      </c>
      <c r="Y30">
        <v>424.66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117</v>
      </c>
      <c r="AG30">
        <v>1.6E-2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ROW(Source!A114)</f>
        <v>114</v>
      </c>
      <c r="B31">
        <v>1471994426</v>
      </c>
      <c r="C31">
        <v>1471829488</v>
      </c>
      <c r="D31">
        <v>1441836235</v>
      </c>
      <c r="E31">
        <v>1</v>
      </c>
      <c r="F31">
        <v>1</v>
      </c>
      <c r="G31">
        <v>15514512</v>
      </c>
      <c r="H31">
        <v>3</v>
      </c>
      <c r="I31" t="s">
        <v>578</v>
      </c>
      <c r="J31" t="s">
        <v>579</v>
      </c>
      <c r="K31" t="s">
        <v>580</v>
      </c>
      <c r="L31">
        <v>1346</v>
      </c>
      <c r="N31">
        <v>1009</v>
      </c>
      <c r="O31" t="s">
        <v>577</v>
      </c>
      <c r="P31" t="s">
        <v>577</v>
      </c>
      <c r="Q31">
        <v>1</v>
      </c>
      <c r="X31">
        <v>0.5</v>
      </c>
      <c r="Y31">
        <v>31.49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117</v>
      </c>
      <c r="AG31">
        <v>1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ROW(Source!A115)</f>
        <v>115</v>
      </c>
      <c r="B32">
        <v>1471994435</v>
      </c>
      <c r="C32">
        <v>1471833700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563</v>
      </c>
      <c r="J32" t="s">
        <v>3</v>
      </c>
      <c r="K32" t="s">
        <v>564</v>
      </c>
      <c r="L32">
        <v>1191</v>
      </c>
      <c r="N32">
        <v>1013</v>
      </c>
      <c r="O32" t="s">
        <v>565</v>
      </c>
      <c r="P32" t="s">
        <v>565</v>
      </c>
      <c r="Q32">
        <v>1</v>
      </c>
      <c r="X32">
        <v>1.33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117</v>
      </c>
      <c r="AG32">
        <v>2.66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ROW(Source!A116)</f>
        <v>116</v>
      </c>
      <c r="B33">
        <v>1471994458</v>
      </c>
      <c r="C33">
        <v>1471834000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563</v>
      </c>
      <c r="J33" t="s">
        <v>3</v>
      </c>
      <c r="K33" t="s">
        <v>564</v>
      </c>
      <c r="L33">
        <v>1191</v>
      </c>
      <c r="N33">
        <v>1013</v>
      </c>
      <c r="O33" t="s">
        <v>565</v>
      </c>
      <c r="P33" t="s">
        <v>565</v>
      </c>
      <c r="Q33">
        <v>1</v>
      </c>
      <c r="X33">
        <v>0.47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117</v>
      </c>
      <c r="AG33">
        <v>0.94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ROW(Source!A116)</f>
        <v>116</v>
      </c>
      <c r="B34">
        <v>1471994459</v>
      </c>
      <c r="C34">
        <v>1471834000</v>
      </c>
      <c r="D34">
        <v>1441836187</v>
      </c>
      <c r="E34">
        <v>1</v>
      </c>
      <c r="F34">
        <v>1</v>
      </c>
      <c r="G34">
        <v>15514512</v>
      </c>
      <c r="H34">
        <v>3</v>
      </c>
      <c r="I34" t="s">
        <v>617</v>
      </c>
      <c r="J34" t="s">
        <v>618</v>
      </c>
      <c r="K34" t="s">
        <v>619</v>
      </c>
      <c r="L34">
        <v>1346</v>
      </c>
      <c r="N34">
        <v>1009</v>
      </c>
      <c r="O34" t="s">
        <v>577</v>
      </c>
      <c r="P34" t="s">
        <v>577</v>
      </c>
      <c r="Q34">
        <v>1</v>
      </c>
      <c r="X34">
        <v>8.0000000000000002E-3</v>
      </c>
      <c r="Y34">
        <v>424.66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117</v>
      </c>
      <c r="AG34">
        <v>1.6E-2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ROW(Source!A116)</f>
        <v>116</v>
      </c>
      <c r="B35">
        <v>1471994460</v>
      </c>
      <c r="C35">
        <v>1471834000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578</v>
      </c>
      <c r="J35" t="s">
        <v>579</v>
      </c>
      <c r="K35" t="s">
        <v>580</v>
      </c>
      <c r="L35">
        <v>1346</v>
      </c>
      <c r="N35">
        <v>1009</v>
      </c>
      <c r="O35" t="s">
        <v>577</v>
      </c>
      <c r="P35" t="s">
        <v>577</v>
      </c>
      <c r="Q35">
        <v>1</v>
      </c>
      <c r="X35">
        <v>0.5</v>
      </c>
      <c r="Y35">
        <v>31.49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117</v>
      </c>
      <c r="AG35">
        <v>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ROW(Source!A116)</f>
        <v>116</v>
      </c>
      <c r="B36">
        <v>1471994461</v>
      </c>
      <c r="C36">
        <v>1471834000</v>
      </c>
      <c r="D36">
        <v>1441834642</v>
      </c>
      <c r="E36">
        <v>1</v>
      </c>
      <c r="F36">
        <v>1</v>
      </c>
      <c r="G36">
        <v>15514512</v>
      </c>
      <c r="H36">
        <v>3</v>
      </c>
      <c r="I36" t="s">
        <v>620</v>
      </c>
      <c r="J36" t="s">
        <v>621</v>
      </c>
      <c r="K36" t="s">
        <v>622</v>
      </c>
      <c r="L36">
        <v>1296</v>
      </c>
      <c r="N36">
        <v>1002</v>
      </c>
      <c r="O36" t="s">
        <v>623</v>
      </c>
      <c r="P36" t="s">
        <v>623</v>
      </c>
      <c r="Q36">
        <v>1</v>
      </c>
      <c r="X36">
        <v>0.01</v>
      </c>
      <c r="Y36">
        <v>109.78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117</v>
      </c>
      <c r="AG36">
        <v>0.02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ROW(Source!A117)</f>
        <v>117</v>
      </c>
      <c r="B37">
        <v>1471994472</v>
      </c>
      <c r="C37">
        <v>1471834275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563</v>
      </c>
      <c r="J37" t="s">
        <v>3</v>
      </c>
      <c r="K37" t="s">
        <v>564</v>
      </c>
      <c r="L37">
        <v>1191</v>
      </c>
      <c r="N37">
        <v>1013</v>
      </c>
      <c r="O37" t="s">
        <v>565</v>
      </c>
      <c r="P37" t="s">
        <v>565</v>
      </c>
      <c r="Q37">
        <v>1</v>
      </c>
      <c r="X37">
        <v>12.5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117</v>
      </c>
      <c r="AG37">
        <v>25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ROW(Source!A117)</f>
        <v>117</v>
      </c>
      <c r="B38">
        <v>1471994473</v>
      </c>
      <c r="C38">
        <v>1471834275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578</v>
      </c>
      <c r="J38" t="s">
        <v>579</v>
      </c>
      <c r="K38" t="s">
        <v>580</v>
      </c>
      <c r="L38">
        <v>1346</v>
      </c>
      <c r="N38">
        <v>1009</v>
      </c>
      <c r="O38" t="s">
        <v>577</v>
      </c>
      <c r="P38" t="s">
        <v>577</v>
      </c>
      <c r="Q38">
        <v>1</v>
      </c>
      <c r="X38">
        <v>0.2</v>
      </c>
      <c r="Y38">
        <v>31.49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117</v>
      </c>
      <c r="AG38">
        <v>0.4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ROW(Source!A117)</f>
        <v>117</v>
      </c>
      <c r="B39">
        <v>1471994474</v>
      </c>
      <c r="C39">
        <v>1471834275</v>
      </c>
      <c r="D39">
        <v>1441834628</v>
      </c>
      <c r="E39">
        <v>1</v>
      </c>
      <c r="F39">
        <v>1</v>
      </c>
      <c r="G39">
        <v>15514512</v>
      </c>
      <c r="H39">
        <v>3</v>
      </c>
      <c r="I39" t="s">
        <v>624</v>
      </c>
      <c r="J39" t="s">
        <v>625</v>
      </c>
      <c r="K39" t="s">
        <v>626</v>
      </c>
      <c r="L39">
        <v>1348</v>
      </c>
      <c r="N39">
        <v>1009</v>
      </c>
      <c r="O39" t="s">
        <v>569</v>
      </c>
      <c r="P39" t="s">
        <v>569</v>
      </c>
      <c r="Q39">
        <v>1000</v>
      </c>
      <c r="X39">
        <v>1.4999999999999999E-4</v>
      </c>
      <c r="Y39">
        <v>73951.73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117</v>
      </c>
      <c r="AG39">
        <v>2.9999999999999997E-4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ROW(Source!A119)</f>
        <v>119</v>
      </c>
      <c r="B40">
        <v>1471994498</v>
      </c>
      <c r="C40">
        <v>1471750982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563</v>
      </c>
      <c r="J40" t="s">
        <v>3</v>
      </c>
      <c r="K40" t="s">
        <v>564</v>
      </c>
      <c r="L40">
        <v>1191</v>
      </c>
      <c r="N40">
        <v>1013</v>
      </c>
      <c r="O40" t="s">
        <v>565</v>
      </c>
      <c r="P40" t="s">
        <v>565</v>
      </c>
      <c r="Q40">
        <v>1</v>
      </c>
      <c r="X40">
        <v>0.92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0.92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ROW(Source!A120)</f>
        <v>120</v>
      </c>
      <c r="B41">
        <v>1471994533</v>
      </c>
      <c r="C41">
        <v>1471750986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563</v>
      </c>
      <c r="J41" t="s">
        <v>3</v>
      </c>
      <c r="K41" t="s">
        <v>564</v>
      </c>
      <c r="L41">
        <v>1191</v>
      </c>
      <c r="N41">
        <v>1013</v>
      </c>
      <c r="O41" t="s">
        <v>565</v>
      </c>
      <c r="P41" t="s">
        <v>565</v>
      </c>
      <c r="Q41">
        <v>1</v>
      </c>
      <c r="X41">
        <v>0.31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117</v>
      </c>
      <c r="AG41">
        <v>0.62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ROW(Source!A120)</f>
        <v>120</v>
      </c>
      <c r="B42">
        <v>1471994535</v>
      </c>
      <c r="C42">
        <v>1471750986</v>
      </c>
      <c r="D42">
        <v>1441836187</v>
      </c>
      <c r="E42">
        <v>1</v>
      </c>
      <c r="F42">
        <v>1</v>
      </c>
      <c r="G42">
        <v>15514512</v>
      </c>
      <c r="H42">
        <v>3</v>
      </c>
      <c r="I42" t="s">
        <v>617</v>
      </c>
      <c r="J42" t="s">
        <v>618</v>
      </c>
      <c r="K42" t="s">
        <v>619</v>
      </c>
      <c r="L42">
        <v>1346</v>
      </c>
      <c r="N42">
        <v>1009</v>
      </c>
      <c r="O42" t="s">
        <v>577</v>
      </c>
      <c r="P42" t="s">
        <v>577</v>
      </c>
      <c r="Q42">
        <v>1</v>
      </c>
      <c r="X42">
        <v>8.0000000000000002E-3</v>
      </c>
      <c r="Y42">
        <v>424.66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117</v>
      </c>
      <c r="AG42">
        <v>1.6E-2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ROW(Source!A120)</f>
        <v>120</v>
      </c>
      <c r="B43">
        <v>1471994536</v>
      </c>
      <c r="C43">
        <v>1471750986</v>
      </c>
      <c r="D43">
        <v>1441836235</v>
      </c>
      <c r="E43">
        <v>1</v>
      </c>
      <c r="F43">
        <v>1</v>
      </c>
      <c r="G43">
        <v>15514512</v>
      </c>
      <c r="H43">
        <v>3</v>
      </c>
      <c r="I43" t="s">
        <v>578</v>
      </c>
      <c r="J43" t="s">
        <v>579</v>
      </c>
      <c r="K43" t="s">
        <v>580</v>
      </c>
      <c r="L43">
        <v>1346</v>
      </c>
      <c r="N43">
        <v>1009</v>
      </c>
      <c r="O43" t="s">
        <v>577</v>
      </c>
      <c r="P43" t="s">
        <v>577</v>
      </c>
      <c r="Q43">
        <v>1</v>
      </c>
      <c r="X43">
        <v>0.5</v>
      </c>
      <c r="Y43">
        <v>31.49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117</v>
      </c>
      <c r="AG43">
        <v>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ROW(Source!A121)</f>
        <v>121</v>
      </c>
      <c r="B44">
        <v>1471994557</v>
      </c>
      <c r="C44">
        <v>1471750996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563</v>
      </c>
      <c r="J44" t="s">
        <v>3</v>
      </c>
      <c r="K44" t="s">
        <v>564</v>
      </c>
      <c r="L44">
        <v>1191</v>
      </c>
      <c r="N44">
        <v>1013</v>
      </c>
      <c r="O44" t="s">
        <v>565</v>
      </c>
      <c r="P44" t="s">
        <v>565</v>
      </c>
      <c r="Q44">
        <v>1</v>
      </c>
      <c r="X44">
        <v>1.17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1.17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ROW(Source!A123)</f>
        <v>123</v>
      </c>
      <c r="B45">
        <v>1471994589</v>
      </c>
      <c r="C45">
        <v>1471751001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563</v>
      </c>
      <c r="J45" t="s">
        <v>3</v>
      </c>
      <c r="K45" t="s">
        <v>564</v>
      </c>
      <c r="L45">
        <v>1191</v>
      </c>
      <c r="N45">
        <v>1013</v>
      </c>
      <c r="O45" t="s">
        <v>565</v>
      </c>
      <c r="P45" t="s">
        <v>565</v>
      </c>
      <c r="Q45">
        <v>1</v>
      </c>
      <c r="X45">
        <v>0.9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0.9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ROW(Source!A123)</f>
        <v>123</v>
      </c>
      <c r="B46">
        <v>1471994590</v>
      </c>
      <c r="C46">
        <v>1471751001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578</v>
      </c>
      <c r="J46" t="s">
        <v>579</v>
      </c>
      <c r="K46" t="s">
        <v>580</v>
      </c>
      <c r="L46">
        <v>1346</v>
      </c>
      <c r="N46">
        <v>1009</v>
      </c>
      <c r="O46" t="s">
        <v>577</v>
      </c>
      <c r="P46" t="s">
        <v>577</v>
      </c>
      <c r="Q46">
        <v>1</v>
      </c>
      <c r="X46">
        <v>0.01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ROW(Source!A124)</f>
        <v>124</v>
      </c>
      <c r="B47">
        <v>1471994631</v>
      </c>
      <c r="C47">
        <v>1471751008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563</v>
      </c>
      <c r="J47" t="s">
        <v>3</v>
      </c>
      <c r="K47" t="s">
        <v>564</v>
      </c>
      <c r="L47">
        <v>1191</v>
      </c>
      <c r="N47">
        <v>1013</v>
      </c>
      <c r="O47" t="s">
        <v>565</v>
      </c>
      <c r="P47" t="s">
        <v>565</v>
      </c>
      <c r="Q47">
        <v>1</v>
      </c>
      <c r="X47">
        <v>1.52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1.52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ROW(Source!A124)</f>
        <v>124</v>
      </c>
      <c r="B48">
        <v>1471994632</v>
      </c>
      <c r="C48">
        <v>1471751008</v>
      </c>
      <c r="D48">
        <v>1441836235</v>
      </c>
      <c r="E48">
        <v>1</v>
      </c>
      <c r="F48">
        <v>1</v>
      </c>
      <c r="G48">
        <v>15514512</v>
      </c>
      <c r="H48">
        <v>3</v>
      </c>
      <c r="I48" t="s">
        <v>578</v>
      </c>
      <c r="J48" t="s">
        <v>579</v>
      </c>
      <c r="K48" t="s">
        <v>580</v>
      </c>
      <c r="L48">
        <v>1346</v>
      </c>
      <c r="N48">
        <v>1009</v>
      </c>
      <c r="O48" t="s">
        <v>577</v>
      </c>
      <c r="P48" t="s">
        <v>577</v>
      </c>
      <c r="Q48">
        <v>1</v>
      </c>
      <c r="X48">
        <v>0.02</v>
      </c>
      <c r="Y48">
        <v>31.49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ROW(Source!A125)</f>
        <v>125</v>
      </c>
      <c r="B49">
        <v>1471994678</v>
      </c>
      <c r="C49">
        <v>1471751015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563</v>
      </c>
      <c r="J49" t="s">
        <v>3</v>
      </c>
      <c r="K49" t="s">
        <v>564</v>
      </c>
      <c r="L49">
        <v>1191</v>
      </c>
      <c r="N49">
        <v>1013</v>
      </c>
      <c r="O49" t="s">
        <v>565</v>
      </c>
      <c r="P49" t="s">
        <v>565</v>
      </c>
      <c r="Q49">
        <v>1</v>
      </c>
      <c r="X49">
        <v>0.06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0.06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ROW(Source!A126)</f>
        <v>126</v>
      </c>
      <c r="B50">
        <v>1471994701</v>
      </c>
      <c r="C50">
        <v>1471751019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563</v>
      </c>
      <c r="J50" t="s">
        <v>3</v>
      </c>
      <c r="K50" t="s">
        <v>564</v>
      </c>
      <c r="L50">
        <v>1191</v>
      </c>
      <c r="N50">
        <v>1013</v>
      </c>
      <c r="O50" t="s">
        <v>565</v>
      </c>
      <c r="P50" t="s">
        <v>565</v>
      </c>
      <c r="Q50">
        <v>1</v>
      </c>
      <c r="X50">
        <v>0.45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0.45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ROW(Source!A127)</f>
        <v>127</v>
      </c>
      <c r="B51">
        <v>1471994721</v>
      </c>
      <c r="C51">
        <v>1471751023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563</v>
      </c>
      <c r="J51" t="s">
        <v>3</v>
      </c>
      <c r="K51" t="s">
        <v>564</v>
      </c>
      <c r="L51">
        <v>1191</v>
      </c>
      <c r="N51">
        <v>1013</v>
      </c>
      <c r="O51" t="s">
        <v>565</v>
      </c>
      <c r="P51" t="s">
        <v>565</v>
      </c>
      <c r="Q51">
        <v>1</v>
      </c>
      <c r="X51">
        <v>5.64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5.64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ROW(Source!A127)</f>
        <v>127</v>
      </c>
      <c r="B52">
        <v>1471994722</v>
      </c>
      <c r="C52">
        <v>1471751023</v>
      </c>
      <c r="D52">
        <v>1441836235</v>
      </c>
      <c r="E52">
        <v>1</v>
      </c>
      <c r="F52">
        <v>1</v>
      </c>
      <c r="G52">
        <v>15514512</v>
      </c>
      <c r="H52">
        <v>3</v>
      </c>
      <c r="I52" t="s">
        <v>578</v>
      </c>
      <c r="J52" t="s">
        <v>579</v>
      </c>
      <c r="K52" t="s">
        <v>580</v>
      </c>
      <c r="L52">
        <v>1346</v>
      </c>
      <c r="N52">
        <v>1009</v>
      </c>
      <c r="O52" t="s">
        <v>577</v>
      </c>
      <c r="P52" t="s">
        <v>577</v>
      </c>
      <c r="Q52">
        <v>1</v>
      </c>
      <c r="X52">
        <v>0.05</v>
      </c>
      <c r="Y52">
        <v>31.49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0.05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ROW(Source!A127)</f>
        <v>127</v>
      </c>
      <c r="B53">
        <v>1471994723</v>
      </c>
      <c r="C53">
        <v>1471751023</v>
      </c>
      <c r="D53">
        <v>1441821340</v>
      </c>
      <c r="E53">
        <v>15514512</v>
      </c>
      <c r="F53">
        <v>1</v>
      </c>
      <c r="G53">
        <v>15514512</v>
      </c>
      <c r="H53">
        <v>3</v>
      </c>
      <c r="I53" t="s">
        <v>627</v>
      </c>
      <c r="J53" t="s">
        <v>3</v>
      </c>
      <c r="K53" t="s">
        <v>628</v>
      </c>
      <c r="L53">
        <v>1354</v>
      </c>
      <c r="N53">
        <v>16987630</v>
      </c>
      <c r="O53" t="s">
        <v>31</v>
      </c>
      <c r="P53" t="s">
        <v>31</v>
      </c>
      <c r="Q53">
        <v>1</v>
      </c>
      <c r="X53">
        <v>10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10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ROW(Source!A129)</f>
        <v>129</v>
      </c>
      <c r="B54">
        <v>1471994792</v>
      </c>
      <c r="C54">
        <v>1471751071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563</v>
      </c>
      <c r="J54" t="s">
        <v>3</v>
      </c>
      <c r="K54" t="s">
        <v>564</v>
      </c>
      <c r="L54">
        <v>1191</v>
      </c>
      <c r="N54">
        <v>1013</v>
      </c>
      <c r="O54" t="s">
        <v>565</v>
      </c>
      <c r="P54" t="s">
        <v>565</v>
      </c>
      <c r="Q54">
        <v>1</v>
      </c>
      <c r="X54">
        <v>0.77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117</v>
      </c>
      <c r="AG54">
        <v>1.54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ROW(Source!A129)</f>
        <v>129</v>
      </c>
      <c r="B55">
        <v>1471994793</v>
      </c>
      <c r="C55">
        <v>1471751071</v>
      </c>
      <c r="D55">
        <v>1441836187</v>
      </c>
      <c r="E55">
        <v>1</v>
      </c>
      <c r="F55">
        <v>1</v>
      </c>
      <c r="G55">
        <v>15514512</v>
      </c>
      <c r="H55">
        <v>3</v>
      </c>
      <c r="I55" t="s">
        <v>617</v>
      </c>
      <c r="J55" t="s">
        <v>618</v>
      </c>
      <c r="K55" t="s">
        <v>619</v>
      </c>
      <c r="L55">
        <v>1346</v>
      </c>
      <c r="N55">
        <v>1009</v>
      </c>
      <c r="O55" t="s">
        <v>577</v>
      </c>
      <c r="P55" t="s">
        <v>577</v>
      </c>
      <c r="Q55">
        <v>1</v>
      </c>
      <c r="X55">
        <v>8.0000000000000002E-3</v>
      </c>
      <c r="Y55">
        <v>424.66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117</v>
      </c>
      <c r="AG55">
        <v>1.6E-2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ROW(Source!A129)</f>
        <v>129</v>
      </c>
      <c r="B56">
        <v>1471994794</v>
      </c>
      <c r="C56">
        <v>1471751071</v>
      </c>
      <c r="D56">
        <v>1441836235</v>
      </c>
      <c r="E56">
        <v>1</v>
      </c>
      <c r="F56">
        <v>1</v>
      </c>
      <c r="G56">
        <v>15514512</v>
      </c>
      <c r="H56">
        <v>3</v>
      </c>
      <c r="I56" t="s">
        <v>578</v>
      </c>
      <c r="J56" t="s">
        <v>579</v>
      </c>
      <c r="K56" t="s">
        <v>580</v>
      </c>
      <c r="L56">
        <v>1346</v>
      </c>
      <c r="N56">
        <v>1009</v>
      </c>
      <c r="O56" t="s">
        <v>577</v>
      </c>
      <c r="P56" t="s">
        <v>577</v>
      </c>
      <c r="Q56">
        <v>1</v>
      </c>
      <c r="X56">
        <v>0.5</v>
      </c>
      <c r="Y56">
        <v>31.49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117</v>
      </c>
      <c r="AG56">
        <v>1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ROW(Source!A131)</f>
        <v>131</v>
      </c>
      <c r="B57">
        <v>1471994805</v>
      </c>
      <c r="C57">
        <v>1471751082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563</v>
      </c>
      <c r="J57" t="s">
        <v>3</v>
      </c>
      <c r="K57" t="s">
        <v>564</v>
      </c>
      <c r="L57">
        <v>1191</v>
      </c>
      <c r="N57">
        <v>1013</v>
      </c>
      <c r="O57" t="s">
        <v>565</v>
      </c>
      <c r="P57" t="s">
        <v>565</v>
      </c>
      <c r="Q57">
        <v>1</v>
      </c>
      <c r="X57">
        <v>1.17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1.17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ROW(Source!A133)</f>
        <v>133</v>
      </c>
      <c r="B58">
        <v>1471994829</v>
      </c>
      <c r="C58">
        <v>1471751087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563</v>
      </c>
      <c r="J58" t="s">
        <v>3</v>
      </c>
      <c r="K58" t="s">
        <v>564</v>
      </c>
      <c r="L58">
        <v>1191</v>
      </c>
      <c r="N58">
        <v>1013</v>
      </c>
      <c r="O58" t="s">
        <v>565</v>
      </c>
      <c r="P58" t="s">
        <v>565</v>
      </c>
      <c r="Q58">
        <v>1</v>
      </c>
      <c r="X58">
        <v>0.9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0.9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ROW(Source!A133)</f>
        <v>133</v>
      </c>
      <c r="B59">
        <v>1471994831</v>
      </c>
      <c r="C59">
        <v>1471751087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578</v>
      </c>
      <c r="J59" t="s">
        <v>579</v>
      </c>
      <c r="K59" t="s">
        <v>580</v>
      </c>
      <c r="L59">
        <v>1346</v>
      </c>
      <c r="N59">
        <v>1009</v>
      </c>
      <c r="O59" t="s">
        <v>577</v>
      </c>
      <c r="P59" t="s">
        <v>577</v>
      </c>
      <c r="Q59">
        <v>1</v>
      </c>
      <c r="X59">
        <v>0.01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ROW(Source!A134)</f>
        <v>134</v>
      </c>
      <c r="B60">
        <v>1471994874</v>
      </c>
      <c r="C60">
        <v>1471751094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563</v>
      </c>
      <c r="J60" t="s">
        <v>3</v>
      </c>
      <c r="K60" t="s">
        <v>564</v>
      </c>
      <c r="L60">
        <v>1191</v>
      </c>
      <c r="N60">
        <v>1013</v>
      </c>
      <c r="O60" t="s">
        <v>565</v>
      </c>
      <c r="P60" t="s">
        <v>565</v>
      </c>
      <c r="Q60">
        <v>1</v>
      </c>
      <c r="X60">
        <v>0.8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117</v>
      </c>
      <c r="AG60">
        <v>1.6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ROW(Source!A135)</f>
        <v>135</v>
      </c>
      <c r="B61">
        <v>1471994890</v>
      </c>
      <c r="C61">
        <v>1471751098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563</v>
      </c>
      <c r="J61" t="s">
        <v>3</v>
      </c>
      <c r="K61" t="s">
        <v>564</v>
      </c>
      <c r="L61">
        <v>1191</v>
      </c>
      <c r="N61">
        <v>1013</v>
      </c>
      <c r="O61" t="s">
        <v>565</v>
      </c>
      <c r="P61" t="s">
        <v>565</v>
      </c>
      <c r="Q61">
        <v>1</v>
      </c>
      <c r="X61">
        <v>0.22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0.22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ROW(Source!A135)</f>
        <v>135</v>
      </c>
      <c r="B62">
        <v>1471994891</v>
      </c>
      <c r="C62">
        <v>1471751098</v>
      </c>
      <c r="D62">
        <v>1441836235</v>
      </c>
      <c r="E62">
        <v>1</v>
      </c>
      <c r="F62">
        <v>1</v>
      </c>
      <c r="G62">
        <v>15514512</v>
      </c>
      <c r="H62">
        <v>3</v>
      </c>
      <c r="I62" t="s">
        <v>578</v>
      </c>
      <c r="J62" t="s">
        <v>579</v>
      </c>
      <c r="K62" t="s">
        <v>580</v>
      </c>
      <c r="L62">
        <v>1346</v>
      </c>
      <c r="N62">
        <v>1009</v>
      </c>
      <c r="O62" t="s">
        <v>577</v>
      </c>
      <c r="P62" t="s">
        <v>577</v>
      </c>
      <c r="Q62">
        <v>1</v>
      </c>
      <c r="X62">
        <v>0.02</v>
      </c>
      <c r="Y62">
        <v>31.49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0.02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ROW(Source!A136)</f>
        <v>136</v>
      </c>
      <c r="B63">
        <v>1471994919</v>
      </c>
      <c r="C63">
        <v>1471751105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563</v>
      </c>
      <c r="J63" t="s">
        <v>3</v>
      </c>
      <c r="K63" t="s">
        <v>564</v>
      </c>
      <c r="L63">
        <v>1191</v>
      </c>
      <c r="N63">
        <v>1013</v>
      </c>
      <c r="O63" t="s">
        <v>565</v>
      </c>
      <c r="P63" t="s">
        <v>565</v>
      </c>
      <c r="Q63">
        <v>1</v>
      </c>
      <c r="X63">
        <v>0.37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117</v>
      </c>
      <c r="AG63">
        <v>0.74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ROW(Source!A136)</f>
        <v>136</v>
      </c>
      <c r="B64">
        <v>1471994920</v>
      </c>
      <c r="C64">
        <v>1471751105</v>
      </c>
      <c r="D64">
        <v>1441834258</v>
      </c>
      <c r="E64">
        <v>1</v>
      </c>
      <c r="F64">
        <v>1</v>
      </c>
      <c r="G64">
        <v>15514512</v>
      </c>
      <c r="H64">
        <v>2</v>
      </c>
      <c r="I64" t="s">
        <v>613</v>
      </c>
      <c r="J64" t="s">
        <v>614</v>
      </c>
      <c r="K64" t="s">
        <v>615</v>
      </c>
      <c r="L64">
        <v>1368</v>
      </c>
      <c r="N64">
        <v>1011</v>
      </c>
      <c r="O64" t="s">
        <v>616</v>
      </c>
      <c r="P64" t="s">
        <v>616</v>
      </c>
      <c r="Q64">
        <v>1</v>
      </c>
      <c r="X64">
        <v>0.06</v>
      </c>
      <c r="Y64">
        <v>0</v>
      </c>
      <c r="Z64">
        <v>1303.01</v>
      </c>
      <c r="AA64">
        <v>826.2</v>
      </c>
      <c r="AB64">
        <v>0</v>
      </c>
      <c r="AC64">
        <v>0</v>
      </c>
      <c r="AD64">
        <v>1</v>
      </c>
      <c r="AE64">
        <v>0</v>
      </c>
      <c r="AF64" t="s">
        <v>117</v>
      </c>
      <c r="AG64">
        <v>0.12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ROW(Source!A137)</f>
        <v>137</v>
      </c>
      <c r="B65">
        <v>1471994957</v>
      </c>
      <c r="C65">
        <v>1471751112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563</v>
      </c>
      <c r="J65" t="s">
        <v>3</v>
      </c>
      <c r="K65" t="s">
        <v>564</v>
      </c>
      <c r="L65">
        <v>1191</v>
      </c>
      <c r="N65">
        <v>1013</v>
      </c>
      <c r="O65" t="s">
        <v>565</v>
      </c>
      <c r="P65" t="s">
        <v>565</v>
      </c>
      <c r="Q65">
        <v>1</v>
      </c>
      <c r="X65">
        <v>1.62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117</v>
      </c>
      <c r="AG65">
        <v>3.24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ROW(Source!A138)</f>
        <v>138</v>
      </c>
      <c r="B66">
        <v>1471995000</v>
      </c>
      <c r="C66">
        <v>1471751116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563</v>
      </c>
      <c r="J66" t="s">
        <v>3</v>
      </c>
      <c r="K66" t="s">
        <v>564</v>
      </c>
      <c r="L66">
        <v>1191</v>
      </c>
      <c r="N66">
        <v>1013</v>
      </c>
      <c r="O66" t="s">
        <v>565</v>
      </c>
      <c r="P66" t="s">
        <v>565</v>
      </c>
      <c r="Q66">
        <v>1</v>
      </c>
      <c r="X66">
        <v>0.24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0.24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ROW(Source!A138)</f>
        <v>138</v>
      </c>
      <c r="B67">
        <v>1471995001</v>
      </c>
      <c r="C67">
        <v>1471751116</v>
      </c>
      <c r="D67">
        <v>1441836235</v>
      </c>
      <c r="E67">
        <v>1</v>
      </c>
      <c r="F67">
        <v>1</v>
      </c>
      <c r="G67">
        <v>15514512</v>
      </c>
      <c r="H67">
        <v>3</v>
      </c>
      <c r="I67" t="s">
        <v>578</v>
      </c>
      <c r="J67" t="s">
        <v>579</v>
      </c>
      <c r="K67" t="s">
        <v>580</v>
      </c>
      <c r="L67">
        <v>1346</v>
      </c>
      <c r="N67">
        <v>1009</v>
      </c>
      <c r="O67" t="s">
        <v>577</v>
      </c>
      <c r="P67" t="s">
        <v>577</v>
      </c>
      <c r="Q67">
        <v>1</v>
      </c>
      <c r="X67">
        <v>0.02</v>
      </c>
      <c r="Y67">
        <v>31.49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0.02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ROW(Source!A139)</f>
        <v>139</v>
      </c>
      <c r="B68">
        <v>1471995026</v>
      </c>
      <c r="C68">
        <v>1471751123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563</v>
      </c>
      <c r="J68" t="s">
        <v>3</v>
      </c>
      <c r="K68" t="s">
        <v>564</v>
      </c>
      <c r="L68">
        <v>1191</v>
      </c>
      <c r="N68">
        <v>1013</v>
      </c>
      <c r="O68" t="s">
        <v>565</v>
      </c>
      <c r="P68" t="s">
        <v>565</v>
      </c>
      <c r="Q68">
        <v>1</v>
      </c>
      <c r="X68">
        <v>0.06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0.06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ROW(Source!A140)</f>
        <v>140</v>
      </c>
      <c r="B69">
        <v>1471995043</v>
      </c>
      <c r="C69">
        <v>1471751127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563</v>
      </c>
      <c r="J69" t="s">
        <v>3</v>
      </c>
      <c r="K69" t="s">
        <v>564</v>
      </c>
      <c r="L69">
        <v>1191</v>
      </c>
      <c r="N69">
        <v>1013</v>
      </c>
      <c r="O69" t="s">
        <v>565</v>
      </c>
      <c r="P69" t="s">
        <v>565</v>
      </c>
      <c r="Q69">
        <v>1</v>
      </c>
      <c r="X69">
        <v>0.42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25</v>
      </c>
      <c r="AG69">
        <v>1.68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ROW(Source!A140)</f>
        <v>140</v>
      </c>
      <c r="B70">
        <v>1471995044</v>
      </c>
      <c r="C70">
        <v>1471751127</v>
      </c>
      <c r="D70">
        <v>1441834258</v>
      </c>
      <c r="E70">
        <v>1</v>
      </c>
      <c r="F70">
        <v>1</v>
      </c>
      <c r="G70">
        <v>15514512</v>
      </c>
      <c r="H70">
        <v>2</v>
      </c>
      <c r="I70" t="s">
        <v>613</v>
      </c>
      <c r="J70" t="s">
        <v>614</v>
      </c>
      <c r="K70" t="s">
        <v>615</v>
      </c>
      <c r="L70">
        <v>1368</v>
      </c>
      <c r="N70">
        <v>1011</v>
      </c>
      <c r="O70" t="s">
        <v>616</v>
      </c>
      <c r="P70" t="s">
        <v>616</v>
      </c>
      <c r="Q70">
        <v>1</v>
      </c>
      <c r="X70">
        <v>0.15</v>
      </c>
      <c r="Y70">
        <v>0</v>
      </c>
      <c r="Z70">
        <v>1303.01</v>
      </c>
      <c r="AA70">
        <v>826.2</v>
      </c>
      <c r="AB70">
        <v>0</v>
      </c>
      <c r="AC70">
        <v>0</v>
      </c>
      <c r="AD70">
        <v>1</v>
      </c>
      <c r="AE70">
        <v>0</v>
      </c>
      <c r="AF70" t="s">
        <v>25</v>
      </c>
      <c r="AG70">
        <v>0.6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ROW(Source!A140)</f>
        <v>140</v>
      </c>
      <c r="B71">
        <v>1471995045</v>
      </c>
      <c r="C71">
        <v>1471751127</v>
      </c>
      <c r="D71">
        <v>1441836235</v>
      </c>
      <c r="E71">
        <v>1</v>
      </c>
      <c r="F71">
        <v>1</v>
      </c>
      <c r="G71">
        <v>15514512</v>
      </c>
      <c r="H71">
        <v>3</v>
      </c>
      <c r="I71" t="s">
        <v>578</v>
      </c>
      <c r="J71" t="s">
        <v>579</v>
      </c>
      <c r="K71" t="s">
        <v>580</v>
      </c>
      <c r="L71">
        <v>1346</v>
      </c>
      <c r="N71">
        <v>1009</v>
      </c>
      <c r="O71" t="s">
        <v>577</v>
      </c>
      <c r="P71" t="s">
        <v>577</v>
      </c>
      <c r="Q71">
        <v>1</v>
      </c>
      <c r="X71">
        <v>0.02</v>
      </c>
      <c r="Y71">
        <v>31.49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25</v>
      </c>
      <c r="AG71">
        <v>0.08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ROW(Source!A141)</f>
        <v>141</v>
      </c>
      <c r="B72">
        <v>1471995072</v>
      </c>
      <c r="C72">
        <v>1471751138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563</v>
      </c>
      <c r="J72" t="s">
        <v>3</v>
      </c>
      <c r="K72" t="s">
        <v>564</v>
      </c>
      <c r="L72">
        <v>1191</v>
      </c>
      <c r="N72">
        <v>1013</v>
      </c>
      <c r="O72" t="s">
        <v>565</v>
      </c>
      <c r="P72" t="s">
        <v>565</v>
      </c>
      <c r="Q72">
        <v>1</v>
      </c>
      <c r="X72">
        <v>0.38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117</v>
      </c>
      <c r="AG72">
        <v>0.76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ROW(Source!A141)</f>
        <v>141</v>
      </c>
      <c r="B73">
        <v>1471995074</v>
      </c>
      <c r="C73">
        <v>1471751138</v>
      </c>
      <c r="D73">
        <v>1441836187</v>
      </c>
      <c r="E73">
        <v>1</v>
      </c>
      <c r="F73">
        <v>1</v>
      </c>
      <c r="G73">
        <v>15514512</v>
      </c>
      <c r="H73">
        <v>3</v>
      </c>
      <c r="I73" t="s">
        <v>617</v>
      </c>
      <c r="J73" t="s">
        <v>618</v>
      </c>
      <c r="K73" t="s">
        <v>619</v>
      </c>
      <c r="L73">
        <v>1346</v>
      </c>
      <c r="N73">
        <v>1009</v>
      </c>
      <c r="O73" t="s">
        <v>577</v>
      </c>
      <c r="P73" t="s">
        <v>577</v>
      </c>
      <c r="Q73">
        <v>1</v>
      </c>
      <c r="X73">
        <v>8.0000000000000002E-3</v>
      </c>
      <c r="Y73">
        <v>424.66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117</v>
      </c>
      <c r="AG73">
        <v>1.6E-2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ROW(Source!A141)</f>
        <v>141</v>
      </c>
      <c r="B74">
        <v>1471995075</v>
      </c>
      <c r="C74">
        <v>1471751138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578</v>
      </c>
      <c r="J74" t="s">
        <v>579</v>
      </c>
      <c r="K74" t="s">
        <v>580</v>
      </c>
      <c r="L74">
        <v>1346</v>
      </c>
      <c r="N74">
        <v>1009</v>
      </c>
      <c r="O74" t="s">
        <v>577</v>
      </c>
      <c r="P74" t="s">
        <v>577</v>
      </c>
      <c r="Q74">
        <v>1</v>
      </c>
      <c r="X74">
        <v>0.5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117</v>
      </c>
      <c r="AG74">
        <v>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ROW(Source!A142)</f>
        <v>142</v>
      </c>
      <c r="B75">
        <v>1471995100</v>
      </c>
      <c r="C75">
        <v>1471751148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563</v>
      </c>
      <c r="J75" t="s">
        <v>3</v>
      </c>
      <c r="K75" t="s">
        <v>564</v>
      </c>
      <c r="L75">
        <v>1191</v>
      </c>
      <c r="N75">
        <v>1013</v>
      </c>
      <c r="O75" t="s">
        <v>565</v>
      </c>
      <c r="P75" t="s">
        <v>565</v>
      </c>
      <c r="Q75">
        <v>1</v>
      </c>
      <c r="X75">
        <v>0.45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0.45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ROW(Source!A143)</f>
        <v>143</v>
      </c>
      <c r="B76">
        <v>1471995111</v>
      </c>
      <c r="C76">
        <v>1471751152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563</v>
      </c>
      <c r="J76" t="s">
        <v>3</v>
      </c>
      <c r="K76" t="s">
        <v>564</v>
      </c>
      <c r="L76">
        <v>1191</v>
      </c>
      <c r="N76">
        <v>1013</v>
      </c>
      <c r="O76" t="s">
        <v>565</v>
      </c>
      <c r="P76" t="s">
        <v>565</v>
      </c>
      <c r="Q76">
        <v>1</v>
      </c>
      <c r="X76">
        <v>0.31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117</v>
      </c>
      <c r="AG76">
        <v>0.62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ROW(Source!A143)</f>
        <v>143</v>
      </c>
      <c r="B77">
        <v>1471995112</v>
      </c>
      <c r="C77">
        <v>1471751152</v>
      </c>
      <c r="D77">
        <v>1441836187</v>
      </c>
      <c r="E77">
        <v>1</v>
      </c>
      <c r="F77">
        <v>1</v>
      </c>
      <c r="G77">
        <v>15514512</v>
      </c>
      <c r="H77">
        <v>3</v>
      </c>
      <c r="I77" t="s">
        <v>617</v>
      </c>
      <c r="J77" t="s">
        <v>618</v>
      </c>
      <c r="K77" t="s">
        <v>619</v>
      </c>
      <c r="L77">
        <v>1346</v>
      </c>
      <c r="N77">
        <v>1009</v>
      </c>
      <c r="O77" t="s">
        <v>577</v>
      </c>
      <c r="P77" t="s">
        <v>577</v>
      </c>
      <c r="Q77">
        <v>1</v>
      </c>
      <c r="X77">
        <v>8.0000000000000002E-3</v>
      </c>
      <c r="Y77">
        <v>424.66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117</v>
      </c>
      <c r="AG77">
        <v>1.6E-2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ROW(Source!A143)</f>
        <v>143</v>
      </c>
      <c r="B78">
        <v>1471995113</v>
      </c>
      <c r="C78">
        <v>1471751152</v>
      </c>
      <c r="D78">
        <v>1441836235</v>
      </c>
      <c r="E78">
        <v>1</v>
      </c>
      <c r="F78">
        <v>1</v>
      </c>
      <c r="G78">
        <v>15514512</v>
      </c>
      <c r="H78">
        <v>3</v>
      </c>
      <c r="I78" t="s">
        <v>578</v>
      </c>
      <c r="J78" t="s">
        <v>579</v>
      </c>
      <c r="K78" t="s">
        <v>580</v>
      </c>
      <c r="L78">
        <v>1346</v>
      </c>
      <c r="N78">
        <v>1009</v>
      </c>
      <c r="O78" t="s">
        <v>577</v>
      </c>
      <c r="P78" t="s">
        <v>577</v>
      </c>
      <c r="Q78">
        <v>1</v>
      </c>
      <c r="X78">
        <v>0.5</v>
      </c>
      <c r="Y78">
        <v>31.49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117</v>
      </c>
      <c r="AG78">
        <v>1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ROW(Source!A144)</f>
        <v>144</v>
      </c>
      <c r="B79">
        <v>1471995137</v>
      </c>
      <c r="C79">
        <v>1471751162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563</v>
      </c>
      <c r="J79" t="s">
        <v>3</v>
      </c>
      <c r="K79" t="s">
        <v>564</v>
      </c>
      <c r="L79">
        <v>1191</v>
      </c>
      <c r="N79">
        <v>1013</v>
      </c>
      <c r="O79" t="s">
        <v>565</v>
      </c>
      <c r="P79" t="s">
        <v>565</v>
      </c>
      <c r="Q79">
        <v>1</v>
      </c>
      <c r="X79">
        <v>0.92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0.92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ROW(Source!A145)</f>
        <v>145</v>
      </c>
      <c r="B80">
        <v>1471995151</v>
      </c>
      <c r="C80">
        <v>1471751166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563</v>
      </c>
      <c r="J80" t="s">
        <v>3</v>
      </c>
      <c r="K80" t="s">
        <v>564</v>
      </c>
      <c r="L80">
        <v>1191</v>
      </c>
      <c r="N80">
        <v>1013</v>
      </c>
      <c r="O80" t="s">
        <v>565</v>
      </c>
      <c r="P80" t="s">
        <v>565</v>
      </c>
      <c r="Q80">
        <v>1</v>
      </c>
      <c r="X80">
        <v>3.6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3.6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ROW(Source!A145)</f>
        <v>145</v>
      </c>
      <c r="B81">
        <v>1471995152</v>
      </c>
      <c r="C81">
        <v>1471751166</v>
      </c>
      <c r="D81">
        <v>1441836235</v>
      </c>
      <c r="E81">
        <v>1</v>
      </c>
      <c r="F81">
        <v>1</v>
      </c>
      <c r="G81">
        <v>15514512</v>
      </c>
      <c r="H81">
        <v>3</v>
      </c>
      <c r="I81" t="s">
        <v>578</v>
      </c>
      <c r="J81" t="s">
        <v>579</v>
      </c>
      <c r="K81" t="s">
        <v>580</v>
      </c>
      <c r="L81">
        <v>1346</v>
      </c>
      <c r="N81">
        <v>1009</v>
      </c>
      <c r="O81" t="s">
        <v>577</v>
      </c>
      <c r="P81" t="s">
        <v>577</v>
      </c>
      <c r="Q81">
        <v>1</v>
      </c>
      <c r="X81">
        <v>1.2E-2</v>
      </c>
      <c r="Y81">
        <v>31.49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1.2E-2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ROW(Source!A145)</f>
        <v>145</v>
      </c>
      <c r="B82">
        <v>1471995153</v>
      </c>
      <c r="C82">
        <v>1471751166</v>
      </c>
      <c r="D82">
        <v>1441821340</v>
      </c>
      <c r="E82">
        <v>15514512</v>
      </c>
      <c r="F82">
        <v>1</v>
      </c>
      <c r="G82">
        <v>15514512</v>
      </c>
      <c r="H82">
        <v>3</v>
      </c>
      <c r="I82" t="s">
        <v>627</v>
      </c>
      <c r="J82" t="s">
        <v>3</v>
      </c>
      <c r="K82" t="s">
        <v>628</v>
      </c>
      <c r="L82">
        <v>1354</v>
      </c>
      <c r="N82">
        <v>16987630</v>
      </c>
      <c r="O82" t="s">
        <v>31</v>
      </c>
      <c r="P82" t="s">
        <v>31</v>
      </c>
      <c r="Q82">
        <v>1</v>
      </c>
      <c r="X82">
        <v>10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</v>
      </c>
      <c r="AG82">
        <v>10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ROW(Source!A148)</f>
        <v>148</v>
      </c>
      <c r="B83">
        <v>1471995223</v>
      </c>
      <c r="C83">
        <v>1471751178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563</v>
      </c>
      <c r="J83" t="s">
        <v>3</v>
      </c>
      <c r="K83" t="s">
        <v>564</v>
      </c>
      <c r="L83">
        <v>1191</v>
      </c>
      <c r="N83">
        <v>1013</v>
      </c>
      <c r="O83" t="s">
        <v>565</v>
      </c>
      <c r="P83" t="s">
        <v>565</v>
      </c>
      <c r="Q83">
        <v>1</v>
      </c>
      <c r="X83">
        <v>1.17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1.17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ROW(Source!A150)</f>
        <v>150</v>
      </c>
      <c r="B84">
        <v>1471995250</v>
      </c>
      <c r="C84">
        <v>1471751183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563</v>
      </c>
      <c r="J84" t="s">
        <v>3</v>
      </c>
      <c r="K84" t="s">
        <v>564</v>
      </c>
      <c r="L84">
        <v>1191</v>
      </c>
      <c r="N84">
        <v>1013</v>
      </c>
      <c r="O84" t="s">
        <v>565</v>
      </c>
      <c r="P84" t="s">
        <v>565</v>
      </c>
      <c r="Q84">
        <v>1</v>
      </c>
      <c r="X84">
        <v>0.9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0.9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ROW(Source!A150)</f>
        <v>150</v>
      </c>
      <c r="B85">
        <v>1471995251</v>
      </c>
      <c r="C85">
        <v>1471751183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578</v>
      </c>
      <c r="J85" t="s">
        <v>579</v>
      </c>
      <c r="K85" t="s">
        <v>580</v>
      </c>
      <c r="L85">
        <v>1346</v>
      </c>
      <c r="N85">
        <v>1009</v>
      </c>
      <c r="O85" t="s">
        <v>577</v>
      </c>
      <c r="P85" t="s">
        <v>577</v>
      </c>
      <c r="Q85">
        <v>1</v>
      </c>
      <c r="X85">
        <v>0.01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0.01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ROW(Source!A151)</f>
        <v>151</v>
      </c>
      <c r="B86">
        <v>1471995288</v>
      </c>
      <c r="C86">
        <v>1471751190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563</v>
      </c>
      <c r="J86" t="s">
        <v>3</v>
      </c>
      <c r="K86" t="s">
        <v>564</v>
      </c>
      <c r="L86">
        <v>1191</v>
      </c>
      <c r="N86">
        <v>1013</v>
      </c>
      <c r="O86" t="s">
        <v>565</v>
      </c>
      <c r="P86" t="s">
        <v>565</v>
      </c>
      <c r="Q86">
        <v>1</v>
      </c>
      <c r="X86">
        <v>0.37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117</v>
      </c>
      <c r="AG86">
        <v>0.74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ROW(Source!A151)</f>
        <v>151</v>
      </c>
      <c r="B87">
        <v>1471995290</v>
      </c>
      <c r="C87">
        <v>1471751190</v>
      </c>
      <c r="D87">
        <v>1441834258</v>
      </c>
      <c r="E87">
        <v>1</v>
      </c>
      <c r="F87">
        <v>1</v>
      </c>
      <c r="G87">
        <v>15514512</v>
      </c>
      <c r="H87">
        <v>2</v>
      </c>
      <c r="I87" t="s">
        <v>613</v>
      </c>
      <c r="J87" t="s">
        <v>614</v>
      </c>
      <c r="K87" t="s">
        <v>615</v>
      </c>
      <c r="L87">
        <v>1368</v>
      </c>
      <c r="N87">
        <v>1011</v>
      </c>
      <c r="O87" t="s">
        <v>616</v>
      </c>
      <c r="P87" t="s">
        <v>616</v>
      </c>
      <c r="Q87">
        <v>1</v>
      </c>
      <c r="X87">
        <v>0.06</v>
      </c>
      <c r="Y87">
        <v>0</v>
      </c>
      <c r="Z87">
        <v>1303.01</v>
      </c>
      <c r="AA87">
        <v>826.2</v>
      </c>
      <c r="AB87">
        <v>0</v>
      </c>
      <c r="AC87">
        <v>0</v>
      </c>
      <c r="AD87">
        <v>1</v>
      </c>
      <c r="AE87">
        <v>0</v>
      </c>
      <c r="AF87" t="s">
        <v>117</v>
      </c>
      <c r="AG87">
        <v>0.12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ROW(Source!A152)</f>
        <v>152</v>
      </c>
      <c r="B88">
        <v>1471995332</v>
      </c>
      <c r="C88">
        <v>1471751197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563</v>
      </c>
      <c r="J88" t="s">
        <v>3</v>
      </c>
      <c r="K88" t="s">
        <v>564</v>
      </c>
      <c r="L88">
        <v>1191</v>
      </c>
      <c r="N88">
        <v>1013</v>
      </c>
      <c r="O88" t="s">
        <v>565</v>
      </c>
      <c r="P88" t="s">
        <v>565</v>
      </c>
      <c r="Q88">
        <v>1</v>
      </c>
      <c r="X88">
        <v>1.62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117</v>
      </c>
      <c r="AG88">
        <v>3.24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ROW(Source!A153)</f>
        <v>153</v>
      </c>
      <c r="B89">
        <v>1471995369</v>
      </c>
      <c r="C89">
        <v>1471751201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563</v>
      </c>
      <c r="J89" t="s">
        <v>3</v>
      </c>
      <c r="K89" t="s">
        <v>564</v>
      </c>
      <c r="L89">
        <v>1191</v>
      </c>
      <c r="N89">
        <v>1013</v>
      </c>
      <c r="O89" t="s">
        <v>565</v>
      </c>
      <c r="P89" t="s">
        <v>565</v>
      </c>
      <c r="Q89">
        <v>1</v>
      </c>
      <c r="X89">
        <v>0.22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0.22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ROW(Source!A153)</f>
        <v>153</v>
      </c>
      <c r="B90">
        <v>1471995370</v>
      </c>
      <c r="C90">
        <v>1471751201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578</v>
      </c>
      <c r="J90" t="s">
        <v>579</v>
      </c>
      <c r="K90" t="s">
        <v>580</v>
      </c>
      <c r="L90">
        <v>1346</v>
      </c>
      <c r="N90">
        <v>1009</v>
      </c>
      <c r="O90" t="s">
        <v>577</v>
      </c>
      <c r="P90" t="s">
        <v>577</v>
      </c>
      <c r="Q90">
        <v>1</v>
      </c>
      <c r="X90">
        <v>0.02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0.02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ROW(Source!A154)</f>
        <v>154</v>
      </c>
      <c r="B91">
        <v>1471995431</v>
      </c>
      <c r="C91">
        <v>1471751208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563</v>
      </c>
      <c r="J91" t="s">
        <v>3</v>
      </c>
      <c r="K91" t="s">
        <v>564</v>
      </c>
      <c r="L91">
        <v>1191</v>
      </c>
      <c r="N91">
        <v>1013</v>
      </c>
      <c r="O91" t="s">
        <v>565</v>
      </c>
      <c r="P91" t="s">
        <v>565</v>
      </c>
      <c r="Q91">
        <v>1</v>
      </c>
      <c r="X91">
        <v>0.8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117</v>
      </c>
      <c r="AG91">
        <v>1.6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ROW(Source!A155)</f>
        <v>155</v>
      </c>
      <c r="B92">
        <v>1471995477</v>
      </c>
      <c r="C92">
        <v>1471751212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563</v>
      </c>
      <c r="J92" t="s">
        <v>3</v>
      </c>
      <c r="K92" t="s">
        <v>564</v>
      </c>
      <c r="L92">
        <v>1191</v>
      </c>
      <c r="N92">
        <v>1013</v>
      </c>
      <c r="O92" t="s">
        <v>565</v>
      </c>
      <c r="P92" t="s">
        <v>565</v>
      </c>
      <c r="Q92">
        <v>1</v>
      </c>
      <c r="X92">
        <v>0.24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0.24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ROW(Source!A155)</f>
        <v>155</v>
      </c>
      <c r="B93">
        <v>1471995478</v>
      </c>
      <c r="C93">
        <v>1471751212</v>
      </c>
      <c r="D93">
        <v>1441836235</v>
      </c>
      <c r="E93">
        <v>1</v>
      </c>
      <c r="F93">
        <v>1</v>
      </c>
      <c r="G93">
        <v>15514512</v>
      </c>
      <c r="H93">
        <v>3</v>
      </c>
      <c r="I93" t="s">
        <v>578</v>
      </c>
      <c r="J93" t="s">
        <v>579</v>
      </c>
      <c r="K93" t="s">
        <v>580</v>
      </c>
      <c r="L93">
        <v>1346</v>
      </c>
      <c r="N93">
        <v>1009</v>
      </c>
      <c r="O93" t="s">
        <v>577</v>
      </c>
      <c r="P93" t="s">
        <v>577</v>
      </c>
      <c r="Q93">
        <v>1</v>
      </c>
      <c r="X93">
        <v>0.02</v>
      </c>
      <c r="Y93">
        <v>31.49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0.02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ROW(Source!A156)</f>
        <v>156</v>
      </c>
      <c r="B94">
        <v>1471995503</v>
      </c>
      <c r="C94">
        <v>1471751219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563</v>
      </c>
      <c r="J94" t="s">
        <v>3</v>
      </c>
      <c r="K94" t="s">
        <v>564</v>
      </c>
      <c r="L94">
        <v>1191</v>
      </c>
      <c r="N94">
        <v>1013</v>
      </c>
      <c r="O94" t="s">
        <v>565</v>
      </c>
      <c r="P94" t="s">
        <v>565</v>
      </c>
      <c r="Q94">
        <v>1</v>
      </c>
      <c r="X94">
        <v>0.06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0.06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ROW(Source!A157)</f>
        <v>157</v>
      </c>
      <c r="B95">
        <v>1471995521</v>
      </c>
      <c r="C95">
        <v>1471751223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563</v>
      </c>
      <c r="J95" t="s">
        <v>3</v>
      </c>
      <c r="K95" t="s">
        <v>564</v>
      </c>
      <c r="L95">
        <v>1191</v>
      </c>
      <c r="N95">
        <v>1013</v>
      </c>
      <c r="O95" t="s">
        <v>565</v>
      </c>
      <c r="P95" t="s">
        <v>565</v>
      </c>
      <c r="Q95">
        <v>1</v>
      </c>
      <c r="X95">
        <v>0.42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25</v>
      </c>
      <c r="AG95">
        <v>1.68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ROW(Source!A157)</f>
        <v>157</v>
      </c>
      <c r="B96">
        <v>1471995522</v>
      </c>
      <c r="C96">
        <v>1471751223</v>
      </c>
      <c r="D96">
        <v>1441834258</v>
      </c>
      <c r="E96">
        <v>1</v>
      </c>
      <c r="F96">
        <v>1</v>
      </c>
      <c r="G96">
        <v>15514512</v>
      </c>
      <c r="H96">
        <v>2</v>
      </c>
      <c r="I96" t="s">
        <v>613</v>
      </c>
      <c r="J96" t="s">
        <v>614</v>
      </c>
      <c r="K96" t="s">
        <v>615</v>
      </c>
      <c r="L96">
        <v>1368</v>
      </c>
      <c r="N96">
        <v>1011</v>
      </c>
      <c r="O96" t="s">
        <v>616</v>
      </c>
      <c r="P96" t="s">
        <v>616</v>
      </c>
      <c r="Q96">
        <v>1</v>
      </c>
      <c r="X96">
        <v>0.15</v>
      </c>
      <c r="Y96">
        <v>0</v>
      </c>
      <c r="Z96">
        <v>1303.01</v>
      </c>
      <c r="AA96">
        <v>826.2</v>
      </c>
      <c r="AB96">
        <v>0</v>
      </c>
      <c r="AC96">
        <v>0</v>
      </c>
      <c r="AD96">
        <v>1</v>
      </c>
      <c r="AE96">
        <v>0</v>
      </c>
      <c r="AF96" t="s">
        <v>25</v>
      </c>
      <c r="AG96">
        <v>0.6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ROW(Source!A157)</f>
        <v>157</v>
      </c>
      <c r="B97">
        <v>1471995523</v>
      </c>
      <c r="C97">
        <v>1471751223</v>
      </c>
      <c r="D97">
        <v>1441836235</v>
      </c>
      <c r="E97">
        <v>1</v>
      </c>
      <c r="F97">
        <v>1</v>
      </c>
      <c r="G97">
        <v>15514512</v>
      </c>
      <c r="H97">
        <v>3</v>
      </c>
      <c r="I97" t="s">
        <v>578</v>
      </c>
      <c r="J97" t="s">
        <v>579</v>
      </c>
      <c r="K97" t="s">
        <v>580</v>
      </c>
      <c r="L97">
        <v>1346</v>
      </c>
      <c r="N97">
        <v>1009</v>
      </c>
      <c r="O97" t="s">
        <v>577</v>
      </c>
      <c r="P97" t="s">
        <v>577</v>
      </c>
      <c r="Q97">
        <v>1</v>
      </c>
      <c r="X97">
        <v>0.02</v>
      </c>
      <c r="Y97">
        <v>31.49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25</v>
      </c>
      <c r="AG97">
        <v>0.08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ROW(Source!A158)</f>
        <v>158</v>
      </c>
      <c r="B98">
        <v>1471995569</v>
      </c>
      <c r="C98">
        <v>1471751233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563</v>
      </c>
      <c r="J98" t="s">
        <v>3</v>
      </c>
      <c r="K98" t="s">
        <v>564</v>
      </c>
      <c r="L98">
        <v>1191</v>
      </c>
      <c r="N98">
        <v>1013</v>
      </c>
      <c r="O98" t="s">
        <v>565</v>
      </c>
      <c r="P98" t="s">
        <v>565</v>
      </c>
      <c r="Q98">
        <v>1</v>
      </c>
      <c r="X98">
        <v>0.38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117</v>
      </c>
      <c r="AG98">
        <v>0.76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ROW(Source!A158)</f>
        <v>158</v>
      </c>
      <c r="B99">
        <v>1471995570</v>
      </c>
      <c r="C99">
        <v>1471751233</v>
      </c>
      <c r="D99">
        <v>1441836187</v>
      </c>
      <c r="E99">
        <v>1</v>
      </c>
      <c r="F99">
        <v>1</v>
      </c>
      <c r="G99">
        <v>15514512</v>
      </c>
      <c r="H99">
        <v>3</v>
      </c>
      <c r="I99" t="s">
        <v>617</v>
      </c>
      <c r="J99" t="s">
        <v>618</v>
      </c>
      <c r="K99" t="s">
        <v>619</v>
      </c>
      <c r="L99">
        <v>1346</v>
      </c>
      <c r="N99">
        <v>1009</v>
      </c>
      <c r="O99" t="s">
        <v>577</v>
      </c>
      <c r="P99" t="s">
        <v>577</v>
      </c>
      <c r="Q99">
        <v>1</v>
      </c>
      <c r="X99">
        <v>8.0000000000000002E-3</v>
      </c>
      <c r="Y99">
        <v>424.66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117</v>
      </c>
      <c r="AG99">
        <v>1.6E-2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ROW(Source!A158)</f>
        <v>158</v>
      </c>
      <c r="B100">
        <v>1471995571</v>
      </c>
      <c r="C100">
        <v>1471751233</v>
      </c>
      <c r="D100">
        <v>1441836235</v>
      </c>
      <c r="E100">
        <v>1</v>
      </c>
      <c r="F100">
        <v>1</v>
      </c>
      <c r="G100">
        <v>15514512</v>
      </c>
      <c r="H100">
        <v>3</v>
      </c>
      <c r="I100" t="s">
        <v>578</v>
      </c>
      <c r="J100" t="s">
        <v>579</v>
      </c>
      <c r="K100" t="s">
        <v>580</v>
      </c>
      <c r="L100">
        <v>1346</v>
      </c>
      <c r="N100">
        <v>1009</v>
      </c>
      <c r="O100" t="s">
        <v>577</v>
      </c>
      <c r="P100" t="s">
        <v>577</v>
      </c>
      <c r="Q100">
        <v>1</v>
      </c>
      <c r="X100">
        <v>0.5</v>
      </c>
      <c r="Y100">
        <v>31.49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117</v>
      </c>
      <c r="AG100">
        <v>1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ROW(Source!A159)</f>
        <v>159</v>
      </c>
      <c r="B101">
        <v>1471995588</v>
      </c>
      <c r="C101">
        <v>1471751243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563</v>
      </c>
      <c r="J101" t="s">
        <v>3</v>
      </c>
      <c r="K101" t="s">
        <v>564</v>
      </c>
      <c r="L101">
        <v>1191</v>
      </c>
      <c r="N101">
        <v>1013</v>
      </c>
      <c r="O101" t="s">
        <v>565</v>
      </c>
      <c r="P101" t="s">
        <v>565</v>
      </c>
      <c r="Q101">
        <v>1</v>
      </c>
      <c r="X101">
        <v>0.45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0.45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ROW(Source!A160)</f>
        <v>160</v>
      </c>
      <c r="B102">
        <v>1471995606</v>
      </c>
      <c r="C102">
        <v>1471751247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563</v>
      </c>
      <c r="J102" t="s">
        <v>3</v>
      </c>
      <c r="K102" t="s">
        <v>564</v>
      </c>
      <c r="L102">
        <v>1191</v>
      </c>
      <c r="N102">
        <v>1013</v>
      </c>
      <c r="O102" t="s">
        <v>565</v>
      </c>
      <c r="P102" t="s">
        <v>565</v>
      </c>
      <c r="Q102">
        <v>1</v>
      </c>
      <c r="X102">
        <v>0.31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117</v>
      </c>
      <c r="AG102">
        <v>0.62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ROW(Source!A160)</f>
        <v>160</v>
      </c>
      <c r="B103">
        <v>1471995607</v>
      </c>
      <c r="C103">
        <v>1471751247</v>
      </c>
      <c r="D103">
        <v>1441836187</v>
      </c>
      <c r="E103">
        <v>1</v>
      </c>
      <c r="F103">
        <v>1</v>
      </c>
      <c r="G103">
        <v>15514512</v>
      </c>
      <c r="H103">
        <v>3</v>
      </c>
      <c r="I103" t="s">
        <v>617</v>
      </c>
      <c r="J103" t="s">
        <v>618</v>
      </c>
      <c r="K103" t="s">
        <v>619</v>
      </c>
      <c r="L103">
        <v>1346</v>
      </c>
      <c r="N103">
        <v>1009</v>
      </c>
      <c r="O103" t="s">
        <v>577</v>
      </c>
      <c r="P103" t="s">
        <v>577</v>
      </c>
      <c r="Q103">
        <v>1</v>
      </c>
      <c r="X103">
        <v>8.0000000000000002E-3</v>
      </c>
      <c r="Y103">
        <v>424.66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117</v>
      </c>
      <c r="AG103">
        <v>1.6E-2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ROW(Source!A160)</f>
        <v>160</v>
      </c>
      <c r="B104">
        <v>1471995608</v>
      </c>
      <c r="C104">
        <v>1471751247</v>
      </c>
      <c r="D104">
        <v>1441836235</v>
      </c>
      <c r="E104">
        <v>1</v>
      </c>
      <c r="F104">
        <v>1</v>
      </c>
      <c r="G104">
        <v>15514512</v>
      </c>
      <c r="H104">
        <v>3</v>
      </c>
      <c r="I104" t="s">
        <v>578</v>
      </c>
      <c r="J104" t="s">
        <v>579</v>
      </c>
      <c r="K104" t="s">
        <v>580</v>
      </c>
      <c r="L104">
        <v>1346</v>
      </c>
      <c r="N104">
        <v>1009</v>
      </c>
      <c r="O104" t="s">
        <v>577</v>
      </c>
      <c r="P104" t="s">
        <v>577</v>
      </c>
      <c r="Q104">
        <v>1</v>
      </c>
      <c r="X104">
        <v>0.5</v>
      </c>
      <c r="Y104">
        <v>31.49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117</v>
      </c>
      <c r="AG104">
        <v>1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ROW(Source!A161)</f>
        <v>161</v>
      </c>
      <c r="B105">
        <v>1471995619</v>
      </c>
      <c r="C105">
        <v>1471751257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563</v>
      </c>
      <c r="J105" t="s">
        <v>3</v>
      </c>
      <c r="K105" t="s">
        <v>564</v>
      </c>
      <c r="L105">
        <v>1191</v>
      </c>
      <c r="N105">
        <v>1013</v>
      </c>
      <c r="O105" t="s">
        <v>565</v>
      </c>
      <c r="P105" t="s">
        <v>565</v>
      </c>
      <c r="Q105">
        <v>1</v>
      </c>
      <c r="X105">
        <v>5.64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5.64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ROW(Source!A161)</f>
        <v>161</v>
      </c>
      <c r="B106">
        <v>1471995620</v>
      </c>
      <c r="C106">
        <v>1471751257</v>
      </c>
      <c r="D106">
        <v>1441836235</v>
      </c>
      <c r="E106">
        <v>1</v>
      </c>
      <c r="F106">
        <v>1</v>
      </c>
      <c r="G106">
        <v>15514512</v>
      </c>
      <c r="H106">
        <v>3</v>
      </c>
      <c r="I106" t="s">
        <v>578</v>
      </c>
      <c r="J106" t="s">
        <v>579</v>
      </c>
      <c r="K106" t="s">
        <v>580</v>
      </c>
      <c r="L106">
        <v>1346</v>
      </c>
      <c r="N106">
        <v>1009</v>
      </c>
      <c r="O106" t="s">
        <v>577</v>
      </c>
      <c r="P106" t="s">
        <v>577</v>
      </c>
      <c r="Q106">
        <v>1</v>
      </c>
      <c r="X106">
        <v>0.05</v>
      </c>
      <c r="Y106">
        <v>31.49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0.05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ROW(Source!A161)</f>
        <v>161</v>
      </c>
      <c r="B107">
        <v>1471995621</v>
      </c>
      <c r="C107">
        <v>1471751257</v>
      </c>
      <c r="D107">
        <v>1441821340</v>
      </c>
      <c r="E107">
        <v>15514512</v>
      </c>
      <c r="F107">
        <v>1</v>
      </c>
      <c r="G107">
        <v>15514512</v>
      </c>
      <c r="H107">
        <v>3</v>
      </c>
      <c r="I107" t="s">
        <v>627</v>
      </c>
      <c r="J107" t="s">
        <v>3</v>
      </c>
      <c r="K107" t="s">
        <v>628</v>
      </c>
      <c r="L107">
        <v>1354</v>
      </c>
      <c r="N107">
        <v>16987630</v>
      </c>
      <c r="O107" t="s">
        <v>31</v>
      </c>
      <c r="P107" t="s">
        <v>31</v>
      </c>
      <c r="Q107">
        <v>1</v>
      </c>
      <c r="X107">
        <v>10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 t="s">
        <v>3</v>
      </c>
      <c r="AG107">
        <v>10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ROW(Source!A163)</f>
        <v>163</v>
      </c>
      <c r="B108">
        <v>1471995672</v>
      </c>
      <c r="C108">
        <v>1471751268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563</v>
      </c>
      <c r="J108" t="s">
        <v>3</v>
      </c>
      <c r="K108" t="s">
        <v>564</v>
      </c>
      <c r="L108">
        <v>1191</v>
      </c>
      <c r="N108">
        <v>1013</v>
      </c>
      <c r="O108" t="s">
        <v>565</v>
      </c>
      <c r="P108" t="s">
        <v>565</v>
      </c>
      <c r="Q108">
        <v>1</v>
      </c>
      <c r="X108">
        <v>0.92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0.92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ROW(Source!A164)</f>
        <v>164</v>
      </c>
      <c r="B109">
        <v>1471995688</v>
      </c>
      <c r="C109">
        <v>1471751272</v>
      </c>
      <c r="D109">
        <v>1441819193</v>
      </c>
      <c r="E109">
        <v>15514512</v>
      </c>
      <c r="F109">
        <v>1</v>
      </c>
      <c r="G109">
        <v>15514512</v>
      </c>
      <c r="H109">
        <v>1</v>
      </c>
      <c r="I109" t="s">
        <v>563</v>
      </c>
      <c r="J109" t="s">
        <v>3</v>
      </c>
      <c r="K109" t="s">
        <v>564</v>
      </c>
      <c r="L109">
        <v>1191</v>
      </c>
      <c r="N109">
        <v>1013</v>
      </c>
      <c r="O109" t="s">
        <v>565</v>
      </c>
      <c r="P109" t="s">
        <v>565</v>
      </c>
      <c r="Q109">
        <v>1</v>
      </c>
      <c r="X109">
        <v>0.9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25</v>
      </c>
      <c r="AG109">
        <v>3.6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ROW(Source!A165)</f>
        <v>165</v>
      </c>
      <c r="B110">
        <v>1471995719</v>
      </c>
      <c r="C110">
        <v>1471751276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563</v>
      </c>
      <c r="J110" t="s">
        <v>3</v>
      </c>
      <c r="K110" t="s">
        <v>564</v>
      </c>
      <c r="L110">
        <v>1191</v>
      </c>
      <c r="N110">
        <v>1013</v>
      </c>
      <c r="O110" t="s">
        <v>565</v>
      </c>
      <c r="P110" t="s">
        <v>565</v>
      </c>
      <c r="Q110">
        <v>1</v>
      </c>
      <c r="X110">
        <v>2.64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25</v>
      </c>
      <c r="AG110">
        <v>10.56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ROW(Source!A166)</f>
        <v>166</v>
      </c>
      <c r="B111">
        <v>1471995730</v>
      </c>
      <c r="C111">
        <v>1471751280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563</v>
      </c>
      <c r="J111" t="s">
        <v>3</v>
      </c>
      <c r="K111" t="s">
        <v>564</v>
      </c>
      <c r="L111">
        <v>1191</v>
      </c>
      <c r="N111">
        <v>1013</v>
      </c>
      <c r="O111" t="s">
        <v>565</v>
      </c>
      <c r="P111" t="s">
        <v>565</v>
      </c>
      <c r="Q111">
        <v>1</v>
      </c>
      <c r="X111">
        <v>10.64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10.64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ROW(Source!A166)</f>
        <v>166</v>
      </c>
      <c r="B112">
        <v>1471995731</v>
      </c>
      <c r="C112">
        <v>1471751280</v>
      </c>
      <c r="D112">
        <v>1441833890</v>
      </c>
      <c r="E112">
        <v>1</v>
      </c>
      <c r="F112">
        <v>1</v>
      </c>
      <c r="G112">
        <v>15514512</v>
      </c>
      <c r="H112">
        <v>2</v>
      </c>
      <c r="I112" t="s">
        <v>629</v>
      </c>
      <c r="J112" t="s">
        <v>630</v>
      </c>
      <c r="K112" t="s">
        <v>631</v>
      </c>
      <c r="L112">
        <v>1368</v>
      </c>
      <c r="N112">
        <v>1011</v>
      </c>
      <c r="O112" t="s">
        <v>616</v>
      </c>
      <c r="P112" t="s">
        <v>616</v>
      </c>
      <c r="Q112">
        <v>1</v>
      </c>
      <c r="X112">
        <v>1.5</v>
      </c>
      <c r="Y112">
        <v>0</v>
      </c>
      <c r="Z112">
        <v>33.799999999999997</v>
      </c>
      <c r="AA112">
        <v>0.54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1.5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ROW(Source!A166)</f>
        <v>166</v>
      </c>
      <c r="B113">
        <v>1471995732</v>
      </c>
      <c r="C113">
        <v>1471751280</v>
      </c>
      <c r="D113">
        <v>1441836514</v>
      </c>
      <c r="E113">
        <v>1</v>
      </c>
      <c r="F113">
        <v>1</v>
      </c>
      <c r="G113">
        <v>15514512</v>
      </c>
      <c r="H113">
        <v>3</v>
      </c>
      <c r="I113" t="s">
        <v>570</v>
      </c>
      <c r="J113" t="s">
        <v>571</v>
      </c>
      <c r="K113" t="s">
        <v>572</v>
      </c>
      <c r="L113">
        <v>1339</v>
      </c>
      <c r="N113">
        <v>1007</v>
      </c>
      <c r="O113" t="s">
        <v>573</v>
      </c>
      <c r="P113" t="s">
        <v>573</v>
      </c>
      <c r="Q113">
        <v>1</v>
      </c>
      <c r="X113">
        <v>3.8</v>
      </c>
      <c r="Y113">
        <v>54.81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3.8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ROW(Source!A166)</f>
        <v>166</v>
      </c>
      <c r="B114">
        <v>1471995733</v>
      </c>
      <c r="C114">
        <v>1471751280</v>
      </c>
      <c r="D114">
        <v>1441836517</v>
      </c>
      <c r="E114">
        <v>1</v>
      </c>
      <c r="F114">
        <v>1</v>
      </c>
      <c r="G114">
        <v>15514512</v>
      </c>
      <c r="H114">
        <v>3</v>
      </c>
      <c r="I114" t="s">
        <v>632</v>
      </c>
      <c r="J114" t="s">
        <v>633</v>
      </c>
      <c r="K114" t="s">
        <v>634</v>
      </c>
      <c r="L114">
        <v>1346</v>
      </c>
      <c r="N114">
        <v>1009</v>
      </c>
      <c r="O114" t="s">
        <v>577</v>
      </c>
      <c r="P114" t="s">
        <v>577</v>
      </c>
      <c r="Q114">
        <v>1</v>
      </c>
      <c r="X114">
        <v>0.02</v>
      </c>
      <c r="Y114">
        <v>451.28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0.02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ROW(Source!A166)</f>
        <v>166</v>
      </c>
      <c r="B115">
        <v>1471995735</v>
      </c>
      <c r="C115">
        <v>1471751280</v>
      </c>
      <c r="D115">
        <v>1441821379</v>
      </c>
      <c r="E115">
        <v>15514512</v>
      </c>
      <c r="F115">
        <v>1</v>
      </c>
      <c r="G115">
        <v>15514512</v>
      </c>
      <c r="H115">
        <v>3</v>
      </c>
      <c r="I115" t="s">
        <v>635</v>
      </c>
      <c r="J115" t="s">
        <v>3</v>
      </c>
      <c r="K115" t="s">
        <v>636</v>
      </c>
      <c r="L115">
        <v>1346</v>
      </c>
      <c r="N115">
        <v>1009</v>
      </c>
      <c r="O115" t="s">
        <v>577</v>
      </c>
      <c r="P115" t="s">
        <v>577</v>
      </c>
      <c r="Q115">
        <v>1</v>
      </c>
      <c r="X115">
        <v>0.05</v>
      </c>
      <c r="Y115">
        <v>89.933959999999999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0.05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ROW(Source!A166)</f>
        <v>166</v>
      </c>
      <c r="B116">
        <v>1471995734</v>
      </c>
      <c r="C116">
        <v>1471751280</v>
      </c>
      <c r="D116">
        <v>1441834875</v>
      </c>
      <c r="E116">
        <v>1</v>
      </c>
      <c r="F116">
        <v>1</v>
      </c>
      <c r="G116">
        <v>15514512</v>
      </c>
      <c r="H116">
        <v>3</v>
      </c>
      <c r="I116" t="s">
        <v>611</v>
      </c>
      <c r="J116" t="s">
        <v>637</v>
      </c>
      <c r="K116" t="s">
        <v>612</v>
      </c>
      <c r="L116">
        <v>1346</v>
      </c>
      <c r="N116">
        <v>1009</v>
      </c>
      <c r="O116" t="s">
        <v>577</v>
      </c>
      <c r="P116" t="s">
        <v>577</v>
      </c>
      <c r="Q116">
        <v>1</v>
      </c>
      <c r="X116">
        <v>0.02</v>
      </c>
      <c r="Y116">
        <v>94.64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0.02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ROW(Source!A167)</f>
        <v>167</v>
      </c>
      <c r="B117">
        <v>1471995759</v>
      </c>
      <c r="C117">
        <v>1471751287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563</v>
      </c>
      <c r="J117" t="s">
        <v>3</v>
      </c>
      <c r="K117" t="s">
        <v>564</v>
      </c>
      <c r="L117">
        <v>1191</v>
      </c>
      <c r="N117">
        <v>1013</v>
      </c>
      <c r="O117" t="s">
        <v>565</v>
      </c>
      <c r="P117" t="s">
        <v>565</v>
      </c>
      <c r="Q117">
        <v>1</v>
      </c>
      <c r="X117">
        <v>3.44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3</v>
      </c>
      <c r="AG117">
        <v>3.44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ROW(Source!A167)</f>
        <v>167</v>
      </c>
      <c r="B118">
        <v>1471995760</v>
      </c>
      <c r="C118">
        <v>1471751287</v>
      </c>
      <c r="D118">
        <v>1441833845</v>
      </c>
      <c r="E118">
        <v>1</v>
      </c>
      <c r="F118">
        <v>1</v>
      </c>
      <c r="G118">
        <v>15514512</v>
      </c>
      <c r="H118">
        <v>2</v>
      </c>
      <c r="I118" t="s">
        <v>638</v>
      </c>
      <c r="J118" t="s">
        <v>639</v>
      </c>
      <c r="K118" t="s">
        <v>640</v>
      </c>
      <c r="L118">
        <v>1368</v>
      </c>
      <c r="N118">
        <v>1011</v>
      </c>
      <c r="O118" t="s">
        <v>616</v>
      </c>
      <c r="P118" t="s">
        <v>616</v>
      </c>
      <c r="Q118">
        <v>1</v>
      </c>
      <c r="X118">
        <v>1.31</v>
      </c>
      <c r="Y118">
        <v>0</v>
      </c>
      <c r="Z118">
        <v>17.95</v>
      </c>
      <c r="AA118">
        <v>0.05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1.31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ROW(Source!A167)</f>
        <v>167</v>
      </c>
      <c r="B119">
        <v>1471995761</v>
      </c>
      <c r="C119">
        <v>1471751287</v>
      </c>
      <c r="D119">
        <v>1441836514</v>
      </c>
      <c r="E119">
        <v>1</v>
      </c>
      <c r="F119">
        <v>1</v>
      </c>
      <c r="G119">
        <v>15514512</v>
      </c>
      <c r="H119">
        <v>3</v>
      </c>
      <c r="I119" t="s">
        <v>570</v>
      </c>
      <c r="J119" t="s">
        <v>571</v>
      </c>
      <c r="K119" t="s">
        <v>572</v>
      </c>
      <c r="L119">
        <v>1339</v>
      </c>
      <c r="N119">
        <v>1007</v>
      </c>
      <c r="O119" t="s">
        <v>573</v>
      </c>
      <c r="P119" t="s">
        <v>573</v>
      </c>
      <c r="Q119">
        <v>1</v>
      </c>
      <c r="X119">
        <v>3.7</v>
      </c>
      <c r="Y119">
        <v>54.81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3.7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ROW(Source!A233)</f>
        <v>233</v>
      </c>
      <c r="B120">
        <v>1471995770</v>
      </c>
      <c r="C120">
        <v>1471751297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563</v>
      </c>
      <c r="J120" t="s">
        <v>3</v>
      </c>
      <c r="K120" t="s">
        <v>564</v>
      </c>
      <c r="L120">
        <v>1191</v>
      </c>
      <c r="N120">
        <v>1013</v>
      </c>
      <c r="O120" t="s">
        <v>565</v>
      </c>
      <c r="P120" t="s">
        <v>565</v>
      </c>
      <c r="Q120">
        <v>1</v>
      </c>
      <c r="X120">
        <v>111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111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ROW(Source!A233)</f>
        <v>233</v>
      </c>
      <c r="B121">
        <v>1471995771</v>
      </c>
      <c r="C121">
        <v>1471751297</v>
      </c>
      <c r="D121">
        <v>1441835475</v>
      </c>
      <c r="E121">
        <v>1</v>
      </c>
      <c r="F121">
        <v>1</v>
      </c>
      <c r="G121">
        <v>15514512</v>
      </c>
      <c r="H121">
        <v>3</v>
      </c>
      <c r="I121" t="s">
        <v>581</v>
      </c>
      <c r="J121" t="s">
        <v>582</v>
      </c>
      <c r="K121" t="s">
        <v>583</v>
      </c>
      <c r="L121">
        <v>1348</v>
      </c>
      <c r="N121">
        <v>1009</v>
      </c>
      <c r="O121" t="s">
        <v>569</v>
      </c>
      <c r="P121" t="s">
        <v>569</v>
      </c>
      <c r="Q121">
        <v>1000</v>
      </c>
      <c r="X121">
        <v>1.5E-3</v>
      </c>
      <c r="Y121">
        <v>155908.07999999999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1.5E-3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ROW(Source!A233)</f>
        <v>233</v>
      </c>
      <c r="B122">
        <v>1471995772</v>
      </c>
      <c r="C122">
        <v>1471751297</v>
      </c>
      <c r="D122">
        <v>1441835549</v>
      </c>
      <c r="E122">
        <v>1</v>
      </c>
      <c r="F122">
        <v>1</v>
      </c>
      <c r="G122">
        <v>15514512</v>
      </c>
      <c r="H122">
        <v>3</v>
      </c>
      <c r="I122" t="s">
        <v>584</v>
      </c>
      <c r="J122" t="s">
        <v>585</v>
      </c>
      <c r="K122" t="s">
        <v>586</v>
      </c>
      <c r="L122">
        <v>1348</v>
      </c>
      <c r="N122">
        <v>1009</v>
      </c>
      <c r="O122" t="s">
        <v>569</v>
      </c>
      <c r="P122" t="s">
        <v>569</v>
      </c>
      <c r="Q122">
        <v>1000</v>
      </c>
      <c r="X122">
        <v>2.9999999999999997E-4</v>
      </c>
      <c r="Y122">
        <v>194655.19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2.9999999999999997E-4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ROW(Source!A233)</f>
        <v>233</v>
      </c>
      <c r="B123">
        <v>1471995773</v>
      </c>
      <c r="C123">
        <v>1471751297</v>
      </c>
      <c r="D123">
        <v>1441836325</v>
      </c>
      <c r="E123">
        <v>1</v>
      </c>
      <c r="F123">
        <v>1</v>
      </c>
      <c r="G123">
        <v>15514512</v>
      </c>
      <c r="H123">
        <v>3</v>
      </c>
      <c r="I123" t="s">
        <v>587</v>
      </c>
      <c r="J123" t="s">
        <v>588</v>
      </c>
      <c r="K123" t="s">
        <v>589</v>
      </c>
      <c r="L123">
        <v>1348</v>
      </c>
      <c r="N123">
        <v>1009</v>
      </c>
      <c r="O123" t="s">
        <v>569</v>
      </c>
      <c r="P123" t="s">
        <v>569</v>
      </c>
      <c r="Q123">
        <v>1000</v>
      </c>
      <c r="X123">
        <v>1.2999999999999999E-3</v>
      </c>
      <c r="Y123">
        <v>108798.39999999999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1.2999999999999999E-3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ROW(Source!A233)</f>
        <v>233</v>
      </c>
      <c r="B124">
        <v>1471995775</v>
      </c>
      <c r="C124">
        <v>1471751297</v>
      </c>
      <c r="D124">
        <v>1441838531</v>
      </c>
      <c r="E124">
        <v>1</v>
      </c>
      <c r="F124">
        <v>1</v>
      </c>
      <c r="G124">
        <v>15514512</v>
      </c>
      <c r="H124">
        <v>3</v>
      </c>
      <c r="I124" t="s">
        <v>641</v>
      </c>
      <c r="J124" t="s">
        <v>642</v>
      </c>
      <c r="K124" t="s">
        <v>643</v>
      </c>
      <c r="L124">
        <v>1348</v>
      </c>
      <c r="N124">
        <v>1009</v>
      </c>
      <c r="O124" t="s">
        <v>569</v>
      </c>
      <c r="P124" t="s">
        <v>569</v>
      </c>
      <c r="Q124">
        <v>1000</v>
      </c>
      <c r="X124">
        <v>1.1000000000000001E-3</v>
      </c>
      <c r="Y124">
        <v>370783.55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1.1000000000000001E-3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ROW(Source!A233)</f>
        <v>233</v>
      </c>
      <c r="B125">
        <v>1471995776</v>
      </c>
      <c r="C125">
        <v>1471751297</v>
      </c>
      <c r="D125">
        <v>1441838759</v>
      </c>
      <c r="E125">
        <v>1</v>
      </c>
      <c r="F125">
        <v>1</v>
      </c>
      <c r="G125">
        <v>15514512</v>
      </c>
      <c r="H125">
        <v>3</v>
      </c>
      <c r="I125" t="s">
        <v>590</v>
      </c>
      <c r="J125" t="s">
        <v>591</v>
      </c>
      <c r="K125" t="s">
        <v>592</v>
      </c>
      <c r="L125">
        <v>1348</v>
      </c>
      <c r="N125">
        <v>1009</v>
      </c>
      <c r="O125" t="s">
        <v>569</v>
      </c>
      <c r="P125" t="s">
        <v>569</v>
      </c>
      <c r="Q125">
        <v>1000</v>
      </c>
      <c r="X125">
        <v>8.9999999999999998E-4</v>
      </c>
      <c r="Y125">
        <v>1590701.16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8.9999999999999998E-4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ROW(Source!A233)</f>
        <v>233</v>
      </c>
      <c r="B126">
        <v>1471995777</v>
      </c>
      <c r="C126">
        <v>1471751297</v>
      </c>
      <c r="D126">
        <v>1441834635</v>
      </c>
      <c r="E126">
        <v>1</v>
      </c>
      <c r="F126">
        <v>1</v>
      </c>
      <c r="G126">
        <v>15514512</v>
      </c>
      <c r="H126">
        <v>3</v>
      </c>
      <c r="I126" t="s">
        <v>593</v>
      </c>
      <c r="J126" t="s">
        <v>594</v>
      </c>
      <c r="K126" t="s">
        <v>595</v>
      </c>
      <c r="L126">
        <v>1339</v>
      </c>
      <c r="N126">
        <v>1007</v>
      </c>
      <c r="O126" t="s">
        <v>573</v>
      </c>
      <c r="P126" t="s">
        <v>573</v>
      </c>
      <c r="Q126">
        <v>1</v>
      </c>
      <c r="X126">
        <v>1.9</v>
      </c>
      <c r="Y126">
        <v>103.4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1.9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ROW(Source!A233)</f>
        <v>233</v>
      </c>
      <c r="B127">
        <v>1471995778</v>
      </c>
      <c r="C127">
        <v>1471751297</v>
      </c>
      <c r="D127">
        <v>1441834627</v>
      </c>
      <c r="E127">
        <v>1</v>
      </c>
      <c r="F127">
        <v>1</v>
      </c>
      <c r="G127">
        <v>15514512</v>
      </c>
      <c r="H127">
        <v>3</v>
      </c>
      <c r="I127" t="s">
        <v>596</v>
      </c>
      <c r="J127" t="s">
        <v>597</v>
      </c>
      <c r="K127" t="s">
        <v>598</v>
      </c>
      <c r="L127">
        <v>1339</v>
      </c>
      <c r="N127">
        <v>1007</v>
      </c>
      <c r="O127" t="s">
        <v>573</v>
      </c>
      <c r="P127" t="s">
        <v>573</v>
      </c>
      <c r="Q127">
        <v>1</v>
      </c>
      <c r="X127">
        <v>0.9</v>
      </c>
      <c r="Y127">
        <v>875.46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0.9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ROW(Source!A233)</f>
        <v>233</v>
      </c>
      <c r="B128">
        <v>1471995779</v>
      </c>
      <c r="C128">
        <v>1471751297</v>
      </c>
      <c r="D128">
        <v>1441834671</v>
      </c>
      <c r="E128">
        <v>1</v>
      </c>
      <c r="F128">
        <v>1</v>
      </c>
      <c r="G128">
        <v>15514512</v>
      </c>
      <c r="H128">
        <v>3</v>
      </c>
      <c r="I128" t="s">
        <v>599</v>
      </c>
      <c r="J128" t="s">
        <v>600</v>
      </c>
      <c r="K128" t="s">
        <v>601</v>
      </c>
      <c r="L128">
        <v>1348</v>
      </c>
      <c r="N128">
        <v>1009</v>
      </c>
      <c r="O128" t="s">
        <v>569</v>
      </c>
      <c r="P128" t="s">
        <v>569</v>
      </c>
      <c r="Q128">
        <v>1000</v>
      </c>
      <c r="X128">
        <v>8.0000000000000004E-4</v>
      </c>
      <c r="Y128">
        <v>184462.17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8.0000000000000004E-4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ROW(Source!A233)</f>
        <v>233</v>
      </c>
      <c r="B129">
        <v>1471995780</v>
      </c>
      <c r="C129">
        <v>1471751297</v>
      </c>
      <c r="D129">
        <v>1441834634</v>
      </c>
      <c r="E129">
        <v>1</v>
      </c>
      <c r="F129">
        <v>1</v>
      </c>
      <c r="G129">
        <v>15514512</v>
      </c>
      <c r="H129">
        <v>3</v>
      </c>
      <c r="I129" t="s">
        <v>602</v>
      </c>
      <c r="J129" t="s">
        <v>603</v>
      </c>
      <c r="K129" t="s">
        <v>604</v>
      </c>
      <c r="L129">
        <v>1348</v>
      </c>
      <c r="N129">
        <v>1009</v>
      </c>
      <c r="O129" t="s">
        <v>569</v>
      </c>
      <c r="P129" t="s">
        <v>569</v>
      </c>
      <c r="Q129">
        <v>1000</v>
      </c>
      <c r="X129">
        <v>1E-3</v>
      </c>
      <c r="Y129">
        <v>88053.759999999995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1E-3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ROW(Source!A233)</f>
        <v>233</v>
      </c>
      <c r="B130">
        <v>1471995781</v>
      </c>
      <c r="C130">
        <v>1471751297</v>
      </c>
      <c r="D130">
        <v>1441834836</v>
      </c>
      <c r="E130">
        <v>1</v>
      </c>
      <c r="F130">
        <v>1</v>
      </c>
      <c r="G130">
        <v>15514512</v>
      </c>
      <c r="H130">
        <v>3</v>
      </c>
      <c r="I130" t="s">
        <v>605</v>
      </c>
      <c r="J130" t="s">
        <v>606</v>
      </c>
      <c r="K130" t="s">
        <v>607</v>
      </c>
      <c r="L130">
        <v>1348</v>
      </c>
      <c r="N130">
        <v>1009</v>
      </c>
      <c r="O130" t="s">
        <v>569</v>
      </c>
      <c r="P130" t="s">
        <v>569</v>
      </c>
      <c r="Q130">
        <v>1000</v>
      </c>
      <c r="X130">
        <v>4.1399999999999996E-3</v>
      </c>
      <c r="Y130">
        <v>93194.67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4.1399999999999996E-3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ROW(Source!A233)</f>
        <v>233</v>
      </c>
      <c r="B131">
        <v>1471995782</v>
      </c>
      <c r="C131">
        <v>1471751297</v>
      </c>
      <c r="D131">
        <v>1441834853</v>
      </c>
      <c r="E131">
        <v>1</v>
      </c>
      <c r="F131">
        <v>1</v>
      </c>
      <c r="G131">
        <v>15514512</v>
      </c>
      <c r="H131">
        <v>3</v>
      </c>
      <c r="I131" t="s">
        <v>608</v>
      </c>
      <c r="J131" t="s">
        <v>609</v>
      </c>
      <c r="K131" t="s">
        <v>610</v>
      </c>
      <c r="L131">
        <v>1348</v>
      </c>
      <c r="N131">
        <v>1009</v>
      </c>
      <c r="O131" t="s">
        <v>569</v>
      </c>
      <c r="P131" t="s">
        <v>569</v>
      </c>
      <c r="Q131">
        <v>1000</v>
      </c>
      <c r="X131">
        <v>1.6000000000000001E-3</v>
      </c>
      <c r="Y131">
        <v>78065.73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1.6000000000000001E-3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ROW(Source!A233)</f>
        <v>233</v>
      </c>
      <c r="B132">
        <v>1471995784</v>
      </c>
      <c r="C132">
        <v>1471751297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611</v>
      </c>
      <c r="J132" t="s">
        <v>3</v>
      </c>
      <c r="K132" t="s">
        <v>612</v>
      </c>
      <c r="L132">
        <v>1348</v>
      </c>
      <c r="N132">
        <v>1009</v>
      </c>
      <c r="O132" t="s">
        <v>569</v>
      </c>
      <c r="P132" t="s">
        <v>569</v>
      </c>
      <c r="Q132">
        <v>1000</v>
      </c>
      <c r="X132">
        <v>4.6000000000000001E-4</v>
      </c>
      <c r="Y132">
        <v>94640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4.6000000000000001E-4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ROW(Source!A233)</f>
        <v>233</v>
      </c>
      <c r="B133">
        <v>1471995783</v>
      </c>
      <c r="C133">
        <v>1471751297</v>
      </c>
      <c r="D133">
        <v>1441850453</v>
      </c>
      <c r="E133">
        <v>1</v>
      </c>
      <c r="F133">
        <v>1</v>
      </c>
      <c r="G133">
        <v>15514512</v>
      </c>
      <c r="H133">
        <v>3</v>
      </c>
      <c r="I133" t="s">
        <v>644</v>
      </c>
      <c r="J133" t="s">
        <v>645</v>
      </c>
      <c r="K133" t="s">
        <v>646</v>
      </c>
      <c r="L133">
        <v>1348</v>
      </c>
      <c r="N133">
        <v>1009</v>
      </c>
      <c r="O133" t="s">
        <v>569</v>
      </c>
      <c r="P133" t="s">
        <v>569</v>
      </c>
      <c r="Q133">
        <v>1000</v>
      </c>
      <c r="X133">
        <v>1.4E-3</v>
      </c>
      <c r="Y133">
        <v>178433.97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1.4E-3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ROW(Source!A234)</f>
        <v>234</v>
      </c>
      <c r="B134">
        <v>1471995798</v>
      </c>
      <c r="C134">
        <v>1471751340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563</v>
      </c>
      <c r="J134" t="s">
        <v>3</v>
      </c>
      <c r="K134" t="s">
        <v>564</v>
      </c>
      <c r="L134">
        <v>1191</v>
      </c>
      <c r="N134">
        <v>1013</v>
      </c>
      <c r="O134" t="s">
        <v>565</v>
      </c>
      <c r="P134" t="s">
        <v>565</v>
      </c>
      <c r="Q134">
        <v>1</v>
      </c>
      <c r="X134">
        <v>14.24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3</v>
      </c>
      <c r="AG134">
        <v>14.24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ROW(Source!A234)</f>
        <v>234</v>
      </c>
      <c r="B135">
        <v>1471995800</v>
      </c>
      <c r="C135">
        <v>1471751340</v>
      </c>
      <c r="D135">
        <v>1441833954</v>
      </c>
      <c r="E135">
        <v>1</v>
      </c>
      <c r="F135">
        <v>1</v>
      </c>
      <c r="G135">
        <v>15514512</v>
      </c>
      <c r="H135">
        <v>2</v>
      </c>
      <c r="I135" t="s">
        <v>647</v>
      </c>
      <c r="J135" t="s">
        <v>648</v>
      </c>
      <c r="K135" t="s">
        <v>649</v>
      </c>
      <c r="L135">
        <v>1368</v>
      </c>
      <c r="N135">
        <v>1011</v>
      </c>
      <c r="O135" t="s">
        <v>616</v>
      </c>
      <c r="P135" t="s">
        <v>616</v>
      </c>
      <c r="Q135">
        <v>1</v>
      </c>
      <c r="X135">
        <v>0.5</v>
      </c>
      <c r="Y135">
        <v>0</v>
      </c>
      <c r="Z135">
        <v>59.51</v>
      </c>
      <c r="AA135">
        <v>0.82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0.5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ROW(Source!A234)</f>
        <v>234</v>
      </c>
      <c r="B136">
        <v>1471995801</v>
      </c>
      <c r="C136">
        <v>1471751340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578</v>
      </c>
      <c r="J136" t="s">
        <v>579</v>
      </c>
      <c r="K136" t="s">
        <v>580</v>
      </c>
      <c r="L136">
        <v>1346</v>
      </c>
      <c r="N136">
        <v>1009</v>
      </c>
      <c r="O136" t="s">
        <v>577</v>
      </c>
      <c r="P136" t="s">
        <v>577</v>
      </c>
      <c r="Q136">
        <v>1</v>
      </c>
      <c r="X136">
        <v>1.0900000000000001</v>
      </c>
      <c r="Y136">
        <v>31.49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1.0900000000000001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ROW(Source!A234)</f>
        <v>234</v>
      </c>
      <c r="B137">
        <v>1471995803</v>
      </c>
      <c r="C137">
        <v>1471751340</v>
      </c>
      <c r="D137">
        <v>1441821379</v>
      </c>
      <c r="E137">
        <v>15514512</v>
      </c>
      <c r="F137">
        <v>1</v>
      </c>
      <c r="G137">
        <v>15514512</v>
      </c>
      <c r="H137">
        <v>3</v>
      </c>
      <c r="I137" t="s">
        <v>635</v>
      </c>
      <c r="J137" t="s">
        <v>3</v>
      </c>
      <c r="K137" t="s">
        <v>636</v>
      </c>
      <c r="L137">
        <v>1346</v>
      </c>
      <c r="N137">
        <v>1009</v>
      </c>
      <c r="O137" t="s">
        <v>577</v>
      </c>
      <c r="P137" t="s">
        <v>577</v>
      </c>
      <c r="Q137">
        <v>1</v>
      </c>
      <c r="X137">
        <v>8.1000000000000003E-2</v>
      </c>
      <c r="Y137">
        <v>89.933959999999999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8.1000000000000003E-2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ROW(Source!A235)</f>
        <v>235</v>
      </c>
      <c r="B138">
        <v>1471995820</v>
      </c>
      <c r="C138">
        <v>1471751354</v>
      </c>
      <c r="D138">
        <v>1441819193</v>
      </c>
      <c r="E138">
        <v>15514512</v>
      </c>
      <c r="F138">
        <v>1</v>
      </c>
      <c r="G138">
        <v>15514512</v>
      </c>
      <c r="H138">
        <v>1</v>
      </c>
      <c r="I138" t="s">
        <v>563</v>
      </c>
      <c r="J138" t="s">
        <v>3</v>
      </c>
      <c r="K138" t="s">
        <v>564</v>
      </c>
      <c r="L138">
        <v>1191</v>
      </c>
      <c r="N138">
        <v>1013</v>
      </c>
      <c r="O138" t="s">
        <v>565</v>
      </c>
      <c r="P138" t="s">
        <v>565</v>
      </c>
      <c r="Q138">
        <v>1</v>
      </c>
      <c r="X138">
        <v>5.04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117</v>
      </c>
      <c r="AG138">
        <v>10.08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ROW(Source!A235)</f>
        <v>235</v>
      </c>
      <c r="B139">
        <v>1471995821</v>
      </c>
      <c r="C139">
        <v>1471751354</v>
      </c>
      <c r="D139">
        <v>1441833954</v>
      </c>
      <c r="E139">
        <v>1</v>
      </c>
      <c r="F139">
        <v>1</v>
      </c>
      <c r="G139">
        <v>15514512</v>
      </c>
      <c r="H139">
        <v>2</v>
      </c>
      <c r="I139" t="s">
        <v>647</v>
      </c>
      <c r="J139" t="s">
        <v>648</v>
      </c>
      <c r="K139" t="s">
        <v>649</v>
      </c>
      <c r="L139">
        <v>1368</v>
      </c>
      <c r="N139">
        <v>1011</v>
      </c>
      <c r="O139" t="s">
        <v>616</v>
      </c>
      <c r="P139" t="s">
        <v>616</v>
      </c>
      <c r="Q139">
        <v>1</v>
      </c>
      <c r="X139">
        <v>0.09</v>
      </c>
      <c r="Y139">
        <v>0</v>
      </c>
      <c r="Z139">
        <v>59.51</v>
      </c>
      <c r="AA139">
        <v>0.82</v>
      </c>
      <c r="AB139">
        <v>0</v>
      </c>
      <c r="AC139">
        <v>0</v>
      </c>
      <c r="AD139">
        <v>1</v>
      </c>
      <c r="AE139">
        <v>0</v>
      </c>
      <c r="AF139" t="s">
        <v>117</v>
      </c>
      <c r="AG139">
        <v>0.18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ROW(Source!A235)</f>
        <v>235</v>
      </c>
      <c r="B140">
        <v>1471995822</v>
      </c>
      <c r="C140">
        <v>1471751354</v>
      </c>
      <c r="D140">
        <v>1441836235</v>
      </c>
      <c r="E140">
        <v>1</v>
      </c>
      <c r="F140">
        <v>1</v>
      </c>
      <c r="G140">
        <v>15514512</v>
      </c>
      <c r="H140">
        <v>3</v>
      </c>
      <c r="I140" t="s">
        <v>578</v>
      </c>
      <c r="J140" t="s">
        <v>579</v>
      </c>
      <c r="K140" t="s">
        <v>580</v>
      </c>
      <c r="L140">
        <v>1346</v>
      </c>
      <c r="N140">
        <v>1009</v>
      </c>
      <c r="O140" t="s">
        <v>577</v>
      </c>
      <c r="P140" t="s">
        <v>577</v>
      </c>
      <c r="Q140">
        <v>1</v>
      </c>
      <c r="X140">
        <v>1.02</v>
      </c>
      <c r="Y140">
        <v>31.49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117</v>
      </c>
      <c r="AG140">
        <v>2.04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ROW(Source!A236)</f>
        <v>236</v>
      </c>
      <c r="B141">
        <v>1471995833</v>
      </c>
      <c r="C141">
        <v>1471751364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563</v>
      </c>
      <c r="J141" t="s">
        <v>3</v>
      </c>
      <c r="K141" t="s">
        <v>564</v>
      </c>
      <c r="L141">
        <v>1191</v>
      </c>
      <c r="N141">
        <v>1013</v>
      </c>
      <c r="O141" t="s">
        <v>565</v>
      </c>
      <c r="P141" t="s">
        <v>565</v>
      </c>
      <c r="Q141">
        <v>1</v>
      </c>
      <c r="X141">
        <v>2.78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117</v>
      </c>
      <c r="AG141">
        <v>5.56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ROW(Source!A236)</f>
        <v>236</v>
      </c>
      <c r="B142">
        <v>1471995835</v>
      </c>
      <c r="C142">
        <v>1471751364</v>
      </c>
      <c r="D142">
        <v>1441833954</v>
      </c>
      <c r="E142">
        <v>1</v>
      </c>
      <c r="F142">
        <v>1</v>
      </c>
      <c r="G142">
        <v>15514512</v>
      </c>
      <c r="H142">
        <v>2</v>
      </c>
      <c r="I142" t="s">
        <v>647</v>
      </c>
      <c r="J142" t="s">
        <v>648</v>
      </c>
      <c r="K142" t="s">
        <v>649</v>
      </c>
      <c r="L142">
        <v>1368</v>
      </c>
      <c r="N142">
        <v>1011</v>
      </c>
      <c r="O142" t="s">
        <v>616</v>
      </c>
      <c r="P142" t="s">
        <v>616</v>
      </c>
      <c r="Q142">
        <v>1</v>
      </c>
      <c r="X142">
        <v>0.09</v>
      </c>
      <c r="Y142">
        <v>0</v>
      </c>
      <c r="Z142">
        <v>59.51</v>
      </c>
      <c r="AA142">
        <v>0.82</v>
      </c>
      <c r="AB142">
        <v>0</v>
      </c>
      <c r="AC142">
        <v>0</v>
      </c>
      <c r="AD142">
        <v>1</v>
      </c>
      <c r="AE142">
        <v>0</v>
      </c>
      <c r="AF142" t="s">
        <v>117</v>
      </c>
      <c r="AG142">
        <v>0.18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ROW(Source!A236)</f>
        <v>236</v>
      </c>
      <c r="B143">
        <v>1471995836</v>
      </c>
      <c r="C143">
        <v>1471751364</v>
      </c>
      <c r="D143">
        <v>1441836235</v>
      </c>
      <c r="E143">
        <v>1</v>
      </c>
      <c r="F143">
        <v>1</v>
      </c>
      <c r="G143">
        <v>15514512</v>
      </c>
      <c r="H143">
        <v>3</v>
      </c>
      <c r="I143" t="s">
        <v>578</v>
      </c>
      <c r="J143" t="s">
        <v>579</v>
      </c>
      <c r="K143" t="s">
        <v>580</v>
      </c>
      <c r="L143">
        <v>1346</v>
      </c>
      <c r="N143">
        <v>1009</v>
      </c>
      <c r="O143" t="s">
        <v>577</v>
      </c>
      <c r="P143" t="s">
        <v>577</v>
      </c>
      <c r="Q143">
        <v>1</v>
      </c>
      <c r="X143">
        <v>0.05</v>
      </c>
      <c r="Y143">
        <v>31.49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117</v>
      </c>
      <c r="AG143">
        <v>0.1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ROW(Source!A237)</f>
        <v>237</v>
      </c>
      <c r="B144">
        <v>1471995916</v>
      </c>
      <c r="C144">
        <v>1471751374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563</v>
      </c>
      <c r="J144" t="s">
        <v>3</v>
      </c>
      <c r="K144" t="s">
        <v>564</v>
      </c>
      <c r="L144">
        <v>1191</v>
      </c>
      <c r="N144">
        <v>1013</v>
      </c>
      <c r="O144" t="s">
        <v>565</v>
      </c>
      <c r="P144" t="s">
        <v>565</v>
      </c>
      <c r="Q144">
        <v>1</v>
      </c>
      <c r="X144">
        <v>84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</v>
      </c>
      <c r="AG144">
        <v>84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ROW(Source!A237)</f>
        <v>237</v>
      </c>
      <c r="B145">
        <v>1471995917</v>
      </c>
      <c r="C145">
        <v>1471751374</v>
      </c>
      <c r="D145">
        <v>1441835475</v>
      </c>
      <c r="E145">
        <v>1</v>
      </c>
      <c r="F145">
        <v>1</v>
      </c>
      <c r="G145">
        <v>15514512</v>
      </c>
      <c r="H145">
        <v>3</v>
      </c>
      <c r="I145" t="s">
        <v>581</v>
      </c>
      <c r="J145" t="s">
        <v>582</v>
      </c>
      <c r="K145" t="s">
        <v>583</v>
      </c>
      <c r="L145">
        <v>1348</v>
      </c>
      <c r="N145">
        <v>1009</v>
      </c>
      <c r="O145" t="s">
        <v>569</v>
      </c>
      <c r="P145" t="s">
        <v>569</v>
      </c>
      <c r="Q145">
        <v>1000</v>
      </c>
      <c r="X145">
        <v>8.0000000000000004E-4</v>
      </c>
      <c r="Y145">
        <v>155908.07999999999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8.0000000000000004E-4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ROW(Source!A237)</f>
        <v>237</v>
      </c>
      <c r="B146">
        <v>1471995918</v>
      </c>
      <c r="C146">
        <v>1471751374</v>
      </c>
      <c r="D146">
        <v>1441835549</v>
      </c>
      <c r="E146">
        <v>1</v>
      </c>
      <c r="F146">
        <v>1</v>
      </c>
      <c r="G146">
        <v>15514512</v>
      </c>
      <c r="H146">
        <v>3</v>
      </c>
      <c r="I146" t="s">
        <v>584</v>
      </c>
      <c r="J146" t="s">
        <v>585</v>
      </c>
      <c r="K146" t="s">
        <v>586</v>
      </c>
      <c r="L146">
        <v>1348</v>
      </c>
      <c r="N146">
        <v>1009</v>
      </c>
      <c r="O146" t="s">
        <v>569</v>
      </c>
      <c r="P146" t="s">
        <v>569</v>
      </c>
      <c r="Q146">
        <v>1000</v>
      </c>
      <c r="X146">
        <v>1E-4</v>
      </c>
      <c r="Y146">
        <v>194655.19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1E-4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ROW(Source!A237)</f>
        <v>237</v>
      </c>
      <c r="B147">
        <v>1471995919</v>
      </c>
      <c r="C147">
        <v>1471751374</v>
      </c>
      <c r="D147">
        <v>1441836325</v>
      </c>
      <c r="E147">
        <v>1</v>
      </c>
      <c r="F147">
        <v>1</v>
      </c>
      <c r="G147">
        <v>15514512</v>
      </c>
      <c r="H147">
        <v>3</v>
      </c>
      <c r="I147" t="s">
        <v>587</v>
      </c>
      <c r="J147" t="s">
        <v>588</v>
      </c>
      <c r="K147" t="s">
        <v>589</v>
      </c>
      <c r="L147">
        <v>1348</v>
      </c>
      <c r="N147">
        <v>1009</v>
      </c>
      <c r="O147" t="s">
        <v>569</v>
      </c>
      <c r="P147" t="s">
        <v>569</v>
      </c>
      <c r="Q147">
        <v>1000</v>
      </c>
      <c r="X147">
        <v>8.0000000000000004E-4</v>
      </c>
      <c r="Y147">
        <v>108798.39999999999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8.0000000000000004E-4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ROW(Source!A237)</f>
        <v>237</v>
      </c>
      <c r="B148">
        <v>1471995920</v>
      </c>
      <c r="C148">
        <v>1471751374</v>
      </c>
      <c r="D148">
        <v>1441838531</v>
      </c>
      <c r="E148">
        <v>1</v>
      </c>
      <c r="F148">
        <v>1</v>
      </c>
      <c r="G148">
        <v>15514512</v>
      </c>
      <c r="H148">
        <v>3</v>
      </c>
      <c r="I148" t="s">
        <v>641</v>
      </c>
      <c r="J148" t="s">
        <v>642</v>
      </c>
      <c r="K148" t="s">
        <v>643</v>
      </c>
      <c r="L148">
        <v>1348</v>
      </c>
      <c r="N148">
        <v>1009</v>
      </c>
      <c r="O148" t="s">
        <v>569</v>
      </c>
      <c r="P148" t="s">
        <v>569</v>
      </c>
      <c r="Q148">
        <v>1000</v>
      </c>
      <c r="X148">
        <v>6.9999999999999999E-4</v>
      </c>
      <c r="Y148">
        <v>370783.55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6.9999999999999999E-4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ROW(Source!A237)</f>
        <v>237</v>
      </c>
      <c r="B149">
        <v>1471995921</v>
      </c>
      <c r="C149">
        <v>1471751374</v>
      </c>
      <c r="D149">
        <v>1441838759</v>
      </c>
      <c r="E149">
        <v>1</v>
      </c>
      <c r="F149">
        <v>1</v>
      </c>
      <c r="G149">
        <v>15514512</v>
      </c>
      <c r="H149">
        <v>3</v>
      </c>
      <c r="I149" t="s">
        <v>590</v>
      </c>
      <c r="J149" t="s">
        <v>591</v>
      </c>
      <c r="K149" t="s">
        <v>592</v>
      </c>
      <c r="L149">
        <v>1348</v>
      </c>
      <c r="N149">
        <v>1009</v>
      </c>
      <c r="O149" t="s">
        <v>569</v>
      </c>
      <c r="P149" t="s">
        <v>569</v>
      </c>
      <c r="Q149">
        <v>1000</v>
      </c>
      <c r="X149">
        <v>6.9999999999999999E-4</v>
      </c>
      <c r="Y149">
        <v>1590701.16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6.9999999999999999E-4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ROW(Source!A237)</f>
        <v>237</v>
      </c>
      <c r="B150">
        <v>1471995922</v>
      </c>
      <c r="C150">
        <v>1471751374</v>
      </c>
      <c r="D150">
        <v>1441834635</v>
      </c>
      <c r="E150">
        <v>1</v>
      </c>
      <c r="F150">
        <v>1</v>
      </c>
      <c r="G150">
        <v>15514512</v>
      </c>
      <c r="H150">
        <v>3</v>
      </c>
      <c r="I150" t="s">
        <v>593</v>
      </c>
      <c r="J150" t="s">
        <v>594</v>
      </c>
      <c r="K150" t="s">
        <v>595</v>
      </c>
      <c r="L150">
        <v>1339</v>
      </c>
      <c r="N150">
        <v>1007</v>
      </c>
      <c r="O150" t="s">
        <v>573</v>
      </c>
      <c r="P150" t="s">
        <v>573</v>
      </c>
      <c r="Q150">
        <v>1</v>
      </c>
      <c r="X150">
        <v>1.8</v>
      </c>
      <c r="Y150">
        <v>103.4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1.8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ROW(Source!A237)</f>
        <v>237</v>
      </c>
      <c r="B151">
        <v>1471995923</v>
      </c>
      <c r="C151">
        <v>1471751374</v>
      </c>
      <c r="D151">
        <v>1441834627</v>
      </c>
      <c r="E151">
        <v>1</v>
      </c>
      <c r="F151">
        <v>1</v>
      </c>
      <c r="G151">
        <v>15514512</v>
      </c>
      <c r="H151">
        <v>3</v>
      </c>
      <c r="I151" t="s">
        <v>596</v>
      </c>
      <c r="J151" t="s">
        <v>597</v>
      </c>
      <c r="K151" t="s">
        <v>598</v>
      </c>
      <c r="L151">
        <v>1339</v>
      </c>
      <c r="N151">
        <v>1007</v>
      </c>
      <c r="O151" t="s">
        <v>573</v>
      </c>
      <c r="P151" t="s">
        <v>573</v>
      </c>
      <c r="Q151">
        <v>1</v>
      </c>
      <c r="X151">
        <v>0.9</v>
      </c>
      <c r="Y151">
        <v>875.46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0.9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ROW(Source!A237)</f>
        <v>237</v>
      </c>
      <c r="B152">
        <v>1471995924</v>
      </c>
      <c r="C152">
        <v>1471751374</v>
      </c>
      <c r="D152">
        <v>1441834671</v>
      </c>
      <c r="E152">
        <v>1</v>
      </c>
      <c r="F152">
        <v>1</v>
      </c>
      <c r="G152">
        <v>15514512</v>
      </c>
      <c r="H152">
        <v>3</v>
      </c>
      <c r="I152" t="s">
        <v>599</v>
      </c>
      <c r="J152" t="s">
        <v>600</v>
      </c>
      <c r="K152" t="s">
        <v>601</v>
      </c>
      <c r="L152">
        <v>1348</v>
      </c>
      <c r="N152">
        <v>1009</v>
      </c>
      <c r="O152" t="s">
        <v>569</v>
      </c>
      <c r="P152" t="s">
        <v>569</v>
      </c>
      <c r="Q152">
        <v>1000</v>
      </c>
      <c r="X152">
        <v>5.9999999999999995E-4</v>
      </c>
      <c r="Y152">
        <v>184462.17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5.9999999999999995E-4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ROW(Source!A237)</f>
        <v>237</v>
      </c>
      <c r="B153">
        <v>1471995925</v>
      </c>
      <c r="C153">
        <v>1471751374</v>
      </c>
      <c r="D153">
        <v>1441834634</v>
      </c>
      <c r="E153">
        <v>1</v>
      </c>
      <c r="F153">
        <v>1</v>
      </c>
      <c r="G153">
        <v>15514512</v>
      </c>
      <c r="H153">
        <v>3</v>
      </c>
      <c r="I153" t="s">
        <v>602</v>
      </c>
      <c r="J153" t="s">
        <v>603</v>
      </c>
      <c r="K153" t="s">
        <v>604</v>
      </c>
      <c r="L153">
        <v>1348</v>
      </c>
      <c r="N153">
        <v>1009</v>
      </c>
      <c r="O153" t="s">
        <v>569</v>
      </c>
      <c r="P153" t="s">
        <v>569</v>
      </c>
      <c r="Q153">
        <v>1000</v>
      </c>
      <c r="X153">
        <v>1E-3</v>
      </c>
      <c r="Y153">
        <v>88053.759999999995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1E-3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ROW(Source!A237)</f>
        <v>237</v>
      </c>
      <c r="B154">
        <v>1471995926</v>
      </c>
      <c r="C154">
        <v>1471751374</v>
      </c>
      <c r="D154">
        <v>1441834836</v>
      </c>
      <c r="E154">
        <v>1</v>
      </c>
      <c r="F154">
        <v>1</v>
      </c>
      <c r="G154">
        <v>15514512</v>
      </c>
      <c r="H154">
        <v>3</v>
      </c>
      <c r="I154" t="s">
        <v>605</v>
      </c>
      <c r="J154" t="s">
        <v>606</v>
      </c>
      <c r="K154" t="s">
        <v>607</v>
      </c>
      <c r="L154">
        <v>1348</v>
      </c>
      <c r="N154">
        <v>1009</v>
      </c>
      <c r="O154" t="s">
        <v>569</v>
      </c>
      <c r="P154" t="s">
        <v>569</v>
      </c>
      <c r="Q154">
        <v>1000</v>
      </c>
      <c r="X154">
        <v>2.16E-3</v>
      </c>
      <c r="Y154">
        <v>93194.67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2.16E-3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ROW(Source!A237)</f>
        <v>237</v>
      </c>
      <c r="B155">
        <v>1471995927</v>
      </c>
      <c r="C155">
        <v>1471751374</v>
      </c>
      <c r="D155">
        <v>1441834853</v>
      </c>
      <c r="E155">
        <v>1</v>
      </c>
      <c r="F155">
        <v>1</v>
      </c>
      <c r="G155">
        <v>15514512</v>
      </c>
      <c r="H155">
        <v>3</v>
      </c>
      <c r="I155" t="s">
        <v>608</v>
      </c>
      <c r="J155" t="s">
        <v>609</v>
      </c>
      <c r="K155" t="s">
        <v>610</v>
      </c>
      <c r="L155">
        <v>1348</v>
      </c>
      <c r="N155">
        <v>1009</v>
      </c>
      <c r="O155" t="s">
        <v>569</v>
      </c>
      <c r="P155" t="s">
        <v>569</v>
      </c>
      <c r="Q155">
        <v>1000</v>
      </c>
      <c r="X155">
        <v>8.0000000000000004E-4</v>
      </c>
      <c r="Y155">
        <v>78065.73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8.0000000000000004E-4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ROW(Source!A237)</f>
        <v>237</v>
      </c>
      <c r="B156">
        <v>1471995929</v>
      </c>
      <c r="C156">
        <v>1471751374</v>
      </c>
      <c r="D156">
        <v>1441822273</v>
      </c>
      <c r="E156">
        <v>15514512</v>
      </c>
      <c r="F156">
        <v>1</v>
      </c>
      <c r="G156">
        <v>15514512</v>
      </c>
      <c r="H156">
        <v>3</v>
      </c>
      <c r="I156" t="s">
        <v>611</v>
      </c>
      <c r="J156" t="s">
        <v>3</v>
      </c>
      <c r="K156" t="s">
        <v>612</v>
      </c>
      <c r="L156">
        <v>1348</v>
      </c>
      <c r="N156">
        <v>1009</v>
      </c>
      <c r="O156" t="s">
        <v>569</v>
      </c>
      <c r="P156" t="s">
        <v>569</v>
      </c>
      <c r="Q156">
        <v>1000</v>
      </c>
      <c r="X156">
        <v>2.4000000000000001E-4</v>
      </c>
      <c r="Y156">
        <v>94640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2.4000000000000001E-4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ROW(Source!A237)</f>
        <v>237</v>
      </c>
      <c r="B157">
        <v>1471995928</v>
      </c>
      <c r="C157">
        <v>1471751374</v>
      </c>
      <c r="D157">
        <v>1441850453</v>
      </c>
      <c r="E157">
        <v>1</v>
      </c>
      <c r="F157">
        <v>1</v>
      </c>
      <c r="G157">
        <v>15514512</v>
      </c>
      <c r="H157">
        <v>3</v>
      </c>
      <c r="I157" t="s">
        <v>644</v>
      </c>
      <c r="J157" t="s">
        <v>645</v>
      </c>
      <c r="K157" t="s">
        <v>646</v>
      </c>
      <c r="L157">
        <v>1348</v>
      </c>
      <c r="N157">
        <v>1009</v>
      </c>
      <c r="O157" t="s">
        <v>569</v>
      </c>
      <c r="P157" t="s">
        <v>569</v>
      </c>
      <c r="Q157">
        <v>1000</v>
      </c>
      <c r="X157">
        <v>8.9999999999999998E-4</v>
      </c>
      <c r="Y157">
        <v>178433.97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8.9999999999999998E-4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ROW(Source!A238)</f>
        <v>238</v>
      </c>
      <c r="B158">
        <v>1471995940</v>
      </c>
      <c r="C158">
        <v>1471751417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563</v>
      </c>
      <c r="J158" t="s">
        <v>3</v>
      </c>
      <c r="K158" t="s">
        <v>564</v>
      </c>
      <c r="L158">
        <v>1191</v>
      </c>
      <c r="N158">
        <v>1013</v>
      </c>
      <c r="O158" t="s">
        <v>565</v>
      </c>
      <c r="P158" t="s">
        <v>565</v>
      </c>
      <c r="Q158">
        <v>1</v>
      </c>
      <c r="X158">
        <v>7.12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3</v>
      </c>
      <c r="AG158">
        <v>7.12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ROW(Source!A238)</f>
        <v>238</v>
      </c>
      <c r="B159">
        <v>1471995941</v>
      </c>
      <c r="C159">
        <v>1471751417</v>
      </c>
      <c r="D159">
        <v>1441833954</v>
      </c>
      <c r="E159">
        <v>1</v>
      </c>
      <c r="F159">
        <v>1</v>
      </c>
      <c r="G159">
        <v>15514512</v>
      </c>
      <c r="H159">
        <v>2</v>
      </c>
      <c r="I159" t="s">
        <v>647</v>
      </c>
      <c r="J159" t="s">
        <v>648</v>
      </c>
      <c r="K159" t="s">
        <v>649</v>
      </c>
      <c r="L159">
        <v>1368</v>
      </c>
      <c r="N159">
        <v>1011</v>
      </c>
      <c r="O159" t="s">
        <v>616</v>
      </c>
      <c r="P159" t="s">
        <v>616</v>
      </c>
      <c r="Q159">
        <v>1</v>
      </c>
      <c r="X159">
        <v>0.15</v>
      </c>
      <c r="Y159">
        <v>0</v>
      </c>
      <c r="Z159">
        <v>59.51</v>
      </c>
      <c r="AA159">
        <v>0.82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0.15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ROW(Source!A238)</f>
        <v>238</v>
      </c>
      <c r="B160">
        <v>1471995942</v>
      </c>
      <c r="C160">
        <v>1471751417</v>
      </c>
      <c r="D160">
        <v>1441836235</v>
      </c>
      <c r="E160">
        <v>1</v>
      </c>
      <c r="F160">
        <v>1</v>
      </c>
      <c r="G160">
        <v>15514512</v>
      </c>
      <c r="H160">
        <v>3</v>
      </c>
      <c r="I160" t="s">
        <v>578</v>
      </c>
      <c r="J160" t="s">
        <v>579</v>
      </c>
      <c r="K160" t="s">
        <v>580</v>
      </c>
      <c r="L160">
        <v>1346</v>
      </c>
      <c r="N160">
        <v>1009</v>
      </c>
      <c r="O160" t="s">
        <v>577</v>
      </c>
      <c r="P160" t="s">
        <v>577</v>
      </c>
      <c r="Q160">
        <v>1</v>
      </c>
      <c r="X160">
        <v>0.36</v>
      </c>
      <c r="Y160">
        <v>31.49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0.36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ROW(Source!A238)</f>
        <v>238</v>
      </c>
      <c r="B161">
        <v>1471995943</v>
      </c>
      <c r="C161">
        <v>1471751417</v>
      </c>
      <c r="D161">
        <v>1441821379</v>
      </c>
      <c r="E161">
        <v>15514512</v>
      </c>
      <c r="F161">
        <v>1</v>
      </c>
      <c r="G161">
        <v>15514512</v>
      </c>
      <c r="H161">
        <v>3</v>
      </c>
      <c r="I161" t="s">
        <v>635</v>
      </c>
      <c r="J161" t="s">
        <v>3</v>
      </c>
      <c r="K161" t="s">
        <v>636</v>
      </c>
      <c r="L161">
        <v>1346</v>
      </c>
      <c r="N161">
        <v>1009</v>
      </c>
      <c r="O161" t="s">
        <v>577</v>
      </c>
      <c r="P161" t="s">
        <v>577</v>
      </c>
      <c r="Q161">
        <v>1</v>
      </c>
      <c r="X161">
        <v>2.4E-2</v>
      </c>
      <c r="Y161">
        <v>89.933959999999999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2.4E-2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ROW(Source!A239)</f>
        <v>239</v>
      </c>
      <c r="B162">
        <v>1471995964</v>
      </c>
      <c r="C162">
        <v>1471751430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563</v>
      </c>
      <c r="J162" t="s">
        <v>3</v>
      </c>
      <c r="K162" t="s">
        <v>564</v>
      </c>
      <c r="L162">
        <v>1191</v>
      </c>
      <c r="N162">
        <v>1013</v>
      </c>
      <c r="O162" t="s">
        <v>565</v>
      </c>
      <c r="P162" t="s">
        <v>565</v>
      </c>
      <c r="Q162">
        <v>1</v>
      </c>
      <c r="X162">
        <v>3.14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117</v>
      </c>
      <c r="AG162">
        <v>6.28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ROW(Source!A239)</f>
        <v>239</v>
      </c>
      <c r="B163">
        <v>1471995965</v>
      </c>
      <c r="C163">
        <v>1471751430</v>
      </c>
      <c r="D163">
        <v>1441833954</v>
      </c>
      <c r="E163">
        <v>1</v>
      </c>
      <c r="F163">
        <v>1</v>
      </c>
      <c r="G163">
        <v>15514512</v>
      </c>
      <c r="H163">
        <v>2</v>
      </c>
      <c r="I163" t="s">
        <v>647</v>
      </c>
      <c r="J163" t="s">
        <v>648</v>
      </c>
      <c r="K163" t="s">
        <v>649</v>
      </c>
      <c r="L163">
        <v>1368</v>
      </c>
      <c r="N163">
        <v>1011</v>
      </c>
      <c r="O163" t="s">
        <v>616</v>
      </c>
      <c r="P163" t="s">
        <v>616</v>
      </c>
      <c r="Q163">
        <v>1</v>
      </c>
      <c r="X163">
        <v>0.03</v>
      </c>
      <c r="Y163">
        <v>0</v>
      </c>
      <c r="Z163">
        <v>59.51</v>
      </c>
      <c r="AA163">
        <v>0.82</v>
      </c>
      <c r="AB163">
        <v>0</v>
      </c>
      <c r="AC163">
        <v>0</v>
      </c>
      <c r="AD163">
        <v>1</v>
      </c>
      <c r="AE163">
        <v>0</v>
      </c>
      <c r="AF163" t="s">
        <v>117</v>
      </c>
      <c r="AG163">
        <v>0.06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ROW(Source!A239)</f>
        <v>239</v>
      </c>
      <c r="B164">
        <v>1471995966</v>
      </c>
      <c r="C164">
        <v>1471751430</v>
      </c>
      <c r="D164">
        <v>1441836235</v>
      </c>
      <c r="E164">
        <v>1</v>
      </c>
      <c r="F164">
        <v>1</v>
      </c>
      <c r="G164">
        <v>15514512</v>
      </c>
      <c r="H164">
        <v>3</v>
      </c>
      <c r="I164" t="s">
        <v>578</v>
      </c>
      <c r="J164" t="s">
        <v>579</v>
      </c>
      <c r="K164" t="s">
        <v>580</v>
      </c>
      <c r="L164">
        <v>1346</v>
      </c>
      <c r="N164">
        <v>1009</v>
      </c>
      <c r="O164" t="s">
        <v>577</v>
      </c>
      <c r="P164" t="s">
        <v>577</v>
      </c>
      <c r="Q164">
        <v>1</v>
      </c>
      <c r="X164">
        <v>0.32</v>
      </c>
      <c r="Y164">
        <v>31.49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117</v>
      </c>
      <c r="AG164">
        <v>0.64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ROW(Source!A240)</f>
        <v>240</v>
      </c>
      <c r="B165">
        <v>1471995989</v>
      </c>
      <c r="C165">
        <v>1471751440</v>
      </c>
      <c r="D165">
        <v>1441819193</v>
      </c>
      <c r="E165">
        <v>15514512</v>
      </c>
      <c r="F165">
        <v>1</v>
      </c>
      <c r="G165">
        <v>15514512</v>
      </c>
      <c r="H165">
        <v>1</v>
      </c>
      <c r="I165" t="s">
        <v>563</v>
      </c>
      <c r="J165" t="s">
        <v>3</v>
      </c>
      <c r="K165" t="s">
        <v>564</v>
      </c>
      <c r="L165">
        <v>1191</v>
      </c>
      <c r="N165">
        <v>1013</v>
      </c>
      <c r="O165" t="s">
        <v>565</v>
      </c>
      <c r="P165" t="s">
        <v>565</v>
      </c>
      <c r="Q165">
        <v>1</v>
      </c>
      <c r="X165">
        <v>1.56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117</v>
      </c>
      <c r="AG165">
        <v>3.12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ROW(Source!A240)</f>
        <v>240</v>
      </c>
      <c r="B166">
        <v>1471995990</v>
      </c>
      <c r="C166">
        <v>1471751440</v>
      </c>
      <c r="D166">
        <v>1441833954</v>
      </c>
      <c r="E166">
        <v>1</v>
      </c>
      <c r="F166">
        <v>1</v>
      </c>
      <c r="G166">
        <v>15514512</v>
      </c>
      <c r="H166">
        <v>2</v>
      </c>
      <c r="I166" t="s">
        <v>647</v>
      </c>
      <c r="J166" t="s">
        <v>648</v>
      </c>
      <c r="K166" t="s">
        <v>649</v>
      </c>
      <c r="L166">
        <v>1368</v>
      </c>
      <c r="N166">
        <v>1011</v>
      </c>
      <c r="O166" t="s">
        <v>616</v>
      </c>
      <c r="P166" t="s">
        <v>616</v>
      </c>
      <c r="Q166">
        <v>1</v>
      </c>
      <c r="X166">
        <v>0.03</v>
      </c>
      <c r="Y166">
        <v>0</v>
      </c>
      <c r="Z166">
        <v>59.51</v>
      </c>
      <c r="AA166">
        <v>0.82</v>
      </c>
      <c r="AB166">
        <v>0</v>
      </c>
      <c r="AC166">
        <v>0</v>
      </c>
      <c r="AD166">
        <v>1</v>
      </c>
      <c r="AE166">
        <v>0</v>
      </c>
      <c r="AF166" t="s">
        <v>117</v>
      </c>
      <c r="AG166">
        <v>0.06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ROW(Source!A240)</f>
        <v>240</v>
      </c>
      <c r="B167">
        <v>1471995992</v>
      </c>
      <c r="C167">
        <v>1471751440</v>
      </c>
      <c r="D167">
        <v>1441836235</v>
      </c>
      <c r="E167">
        <v>1</v>
      </c>
      <c r="F167">
        <v>1</v>
      </c>
      <c r="G167">
        <v>15514512</v>
      </c>
      <c r="H167">
        <v>3</v>
      </c>
      <c r="I167" t="s">
        <v>578</v>
      </c>
      <c r="J167" t="s">
        <v>579</v>
      </c>
      <c r="K167" t="s">
        <v>580</v>
      </c>
      <c r="L167">
        <v>1346</v>
      </c>
      <c r="N167">
        <v>1009</v>
      </c>
      <c r="O167" t="s">
        <v>577</v>
      </c>
      <c r="P167" t="s">
        <v>577</v>
      </c>
      <c r="Q167">
        <v>1</v>
      </c>
      <c r="X167">
        <v>0.02</v>
      </c>
      <c r="Y167">
        <v>31.49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117</v>
      </c>
      <c r="AG167">
        <v>0.04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ROW(Source!A241)</f>
        <v>241</v>
      </c>
      <c r="B168">
        <v>1471996010</v>
      </c>
      <c r="C168">
        <v>1471751450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563</v>
      </c>
      <c r="J168" t="s">
        <v>3</v>
      </c>
      <c r="K168" t="s">
        <v>564</v>
      </c>
      <c r="L168">
        <v>1191</v>
      </c>
      <c r="N168">
        <v>1013</v>
      </c>
      <c r="O168" t="s">
        <v>565</v>
      </c>
      <c r="P168" t="s">
        <v>565</v>
      </c>
      <c r="Q168">
        <v>1</v>
      </c>
      <c r="X168">
        <v>9.6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9.6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ROW(Source!A241)</f>
        <v>241</v>
      </c>
      <c r="B169">
        <v>1471996011</v>
      </c>
      <c r="C169">
        <v>1471751450</v>
      </c>
      <c r="D169">
        <v>1441834142</v>
      </c>
      <c r="E169">
        <v>1</v>
      </c>
      <c r="F169">
        <v>1</v>
      </c>
      <c r="G169">
        <v>15514512</v>
      </c>
      <c r="H169">
        <v>2</v>
      </c>
      <c r="I169" t="s">
        <v>650</v>
      </c>
      <c r="J169" t="s">
        <v>651</v>
      </c>
      <c r="K169" t="s">
        <v>652</v>
      </c>
      <c r="L169">
        <v>1368</v>
      </c>
      <c r="N169">
        <v>1011</v>
      </c>
      <c r="O169" t="s">
        <v>616</v>
      </c>
      <c r="P169" t="s">
        <v>616</v>
      </c>
      <c r="Q169">
        <v>1</v>
      </c>
      <c r="X169">
        <v>2.23</v>
      </c>
      <c r="Y169">
        <v>0</v>
      </c>
      <c r="Z169">
        <v>10.14</v>
      </c>
      <c r="AA169">
        <v>0.31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2.23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ROW(Source!A241)</f>
        <v>241</v>
      </c>
      <c r="B170">
        <v>1471996012</v>
      </c>
      <c r="C170">
        <v>1471751450</v>
      </c>
      <c r="D170">
        <v>1441834258</v>
      </c>
      <c r="E170">
        <v>1</v>
      </c>
      <c r="F170">
        <v>1</v>
      </c>
      <c r="G170">
        <v>15514512</v>
      </c>
      <c r="H170">
        <v>2</v>
      </c>
      <c r="I170" t="s">
        <v>613</v>
      </c>
      <c r="J170" t="s">
        <v>614</v>
      </c>
      <c r="K170" t="s">
        <v>615</v>
      </c>
      <c r="L170">
        <v>1368</v>
      </c>
      <c r="N170">
        <v>1011</v>
      </c>
      <c r="O170" t="s">
        <v>616</v>
      </c>
      <c r="P170" t="s">
        <v>616</v>
      </c>
      <c r="Q170">
        <v>1</v>
      </c>
      <c r="X170">
        <v>2.4500000000000002</v>
      </c>
      <c r="Y170">
        <v>0</v>
      </c>
      <c r="Z170">
        <v>1303.01</v>
      </c>
      <c r="AA170">
        <v>826.2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2.4500000000000002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ROW(Source!A241)</f>
        <v>241</v>
      </c>
      <c r="B171">
        <v>1471996013</v>
      </c>
      <c r="C171">
        <v>1471751450</v>
      </c>
      <c r="D171">
        <v>1441836395</v>
      </c>
      <c r="E171">
        <v>1</v>
      </c>
      <c r="F171">
        <v>1</v>
      </c>
      <c r="G171">
        <v>15514512</v>
      </c>
      <c r="H171">
        <v>3</v>
      </c>
      <c r="I171" t="s">
        <v>653</v>
      </c>
      <c r="J171" t="s">
        <v>654</v>
      </c>
      <c r="K171" t="s">
        <v>655</v>
      </c>
      <c r="L171">
        <v>1346</v>
      </c>
      <c r="N171">
        <v>1009</v>
      </c>
      <c r="O171" t="s">
        <v>577</v>
      </c>
      <c r="P171" t="s">
        <v>577</v>
      </c>
      <c r="Q171">
        <v>1</v>
      </c>
      <c r="X171">
        <v>0.32</v>
      </c>
      <c r="Y171">
        <v>1021.71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0.32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ROW(Source!A242)</f>
        <v>242</v>
      </c>
      <c r="B172">
        <v>1471996033</v>
      </c>
      <c r="C172">
        <v>1471751463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563</v>
      </c>
      <c r="J172" t="s">
        <v>3</v>
      </c>
      <c r="K172" t="s">
        <v>564</v>
      </c>
      <c r="L172">
        <v>1191</v>
      </c>
      <c r="N172">
        <v>1013</v>
      </c>
      <c r="O172" t="s">
        <v>565</v>
      </c>
      <c r="P172" t="s">
        <v>565</v>
      </c>
      <c r="Q172">
        <v>1</v>
      </c>
      <c r="X172">
        <v>63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63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ROW(Source!A242)</f>
        <v>242</v>
      </c>
      <c r="B173">
        <v>1471996034</v>
      </c>
      <c r="C173">
        <v>1471751463</v>
      </c>
      <c r="D173">
        <v>1441835475</v>
      </c>
      <c r="E173">
        <v>1</v>
      </c>
      <c r="F173">
        <v>1</v>
      </c>
      <c r="G173">
        <v>15514512</v>
      </c>
      <c r="H173">
        <v>3</v>
      </c>
      <c r="I173" t="s">
        <v>581</v>
      </c>
      <c r="J173" t="s">
        <v>582</v>
      </c>
      <c r="K173" t="s">
        <v>583</v>
      </c>
      <c r="L173">
        <v>1348</v>
      </c>
      <c r="N173">
        <v>1009</v>
      </c>
      <c r="O173" t="s">
        <v>569</v>
      </c>
      <c r="P173" t="s">
        <v>569</v>
      </c>
      <c r="Q173">
        <v>1000</v>
      </c>
      <c r="X173">
        <v>2.9999999999999997E-4</v>
      </c>
      <c r="Y173">
        <v>155908.07999999999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2.9999999999999997E-4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ROW(Source!A242)</f>
        <v>242</v>
      </c>
      <c r="B174">
        <v>1471996035</v>
      </c>
      <c r="C174">
        <v>1471751463</v>
      </c>
      <c r="D174">
        <v>1441835549</v>
      </c>
      <c r="E174">
        <v>1</v>
      </c>
      <c r="F174">
        <v>1</v>
      </c>
      <c r="G174">
        <v>15514512</v>
      </c>
      <c r="H174">
        <v>3</v>
      </c>
      <c r="I174" t="s">
        <v>584</v>
      </c>
      <c r="J174" t="s">
        <v>585</v>
      </c>
      <c r="K174" t="s">
        <v>586</v>
      </c>
      <c r="L174">
        <v>1348</v>
      </c>
      <c r="N174">
        <v>1009</v>
      </c>
      <c r="O174" t="s">
        <v>569</v>
      </c>
      <c r="P174" t="s">
        <v>569</v>
      </c>
      <c r="Q174">
        <v>1000</v>
      </c>
      <c r="X174">
        <v>1E-4</v>
      </c>
      <c r="Y174">
        <v>194655.19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1E-4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ROW(Source!A242)</f>
        <v>242</v>
      </c>
      <c r="B175">
        <v>1471996036</v>
      </c>
      <c r="C175">
        <v>1471751463</v>
      </c>
      <c r="D175">
        <v>1441836250</v>
      </c>
      <c r="E175">
        <v>1</v>
      </c>
      <c r="F175">
        <v>1</v>
      </c>
      <c r="G175">
        <v>15514512</v>
      </c>
      <c r="H175">
        <v>3</v>
      </c>
      <c r="I175" t="s">
        <v>656</v>
      </c>
      <c r="J175" t="s">
        <v>657</v>
      </c>
      <c r="K175" t="s">
        <v>658</v>
      </c>
      <c r="L175">
        <v>1327</v>
      </c>
      <c r="N175">
        <v>1005</v>
      </c>
      <c r="O175" t="s">
        <v>659</v>
      </c>
      <c r="P175" t="s">
        <v>659</v>
      </c>
      <c r="Q175">
        <v>1</v>
      </c>
      <c r="X175">
        <v>1.9</v>
      </c>
      <c r="Y175">
        <v>149.25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1.9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ROW(Source!A242)</f>
        <v>242</v>
      </c>
      <c r="B176">
        <v>1471996037</v>
      </c>
      <c r="C176">
        <v>1471751463</v>
      </c>
      <c r="D176">
        <v>1441834635</v>
      </c>
      <c r="E176">
        <v>1</v>
      </c>
      <c r="F176">
        <v>1</v>
      </c>
      <c r="G176">
        <v>15514512</v>
      </c>
      <c r="H176">
        <v>3</v>
      </c>
      <c r="I176" t="s">
        <v>593</v>
      </c>
      <c r="J176" t="s">
        <v>594</v>
      </c>
      <c r="K176" t="s">
        <v>595</v>
      </c>
      <c r="L176">
        <v>1339</v>
      </c>
      <c r="N176">
        <v>1007</v>
      </c>
      <c r="O176" t="s">
        <v>573</v>
      </c>
      <c r="P176" t="s">
        <v>573</v>
      </c>
      <c r="Q176">
        <v>1</v>
      </c>
      <c r="X176">
        <v>0.5</v>
      </c>
      <c r="Y176">
        <v>103.4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0.5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ROW(Source!A242)</f>
        <v>242</v>
      </c>
      <c r="B177">
        <v>1471996038</v>
      </c>
      <c r="C177">
        <v>1471751463</v>
      </c>
      <c r="D177">
        <v>1441834627</v>
      </c>
      <c r="E177">
        <v>1</v>
      </c>
      <c r="F177">
        <v>1</v>
      </c>
      <c r="G177">
        <v>15514512</v>
      </c>
      <c r="H177">
        <v>3</v>
      </c>
      <c r="I177" t="s">
        <v>596</v>
      </c>
      <c r="J177" t="s">
        <v>597</v>
      </c>
      <c r="K177" t="s">
        <v>598</v>
      </c>
      <c r="L177">
        <v>1339</v>
      </c>
      <c r="N177">
        <v>1007</v>
      </c>
      <c r="O177" t="s">
        <v>573</v>
      </c>
      <c r="P177" t="s">
        <v>573</v>
      </c>
      <c r="Q177">
        <v>1</v>
      </c>
      <c r="X177">
        <v>0.3</v>
      </c>
      <c r="Y177">
        <v>875.46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0.3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ROW(Source!A242)</f>
        <v>242</v>
      </c>
      <c r="B178">
        <v>1471996039</v>
      </c>
      <c r="C178">
        <v>1471751463</v>
      </c>
      <c r="D178">
        <v>1441834671</v>
      </c>
      <c r="E178">
        <v>1</v>
      </c>
      <c r="F178">
        <v>1</v>
      </c>
      <c r="G178">
        <v>15514512</v>
      </c>
      <c r="H178">
        <v>3</v>
      </c>
      <c r="I178" t="s">
        <v>599</v>
      </c>
      <c r="J178" t="s">
        <v>600</v>
      </c>
      <c r="K178" t="s">
        <v>601</v>
      </c>
      <c r="L178">
        <v>1348</v>
      </c>
      <c r="N178">
        <v>1009</v>
      </c>
      <c r="O178" t="s">
        <v>569</v>
      </c>
      <c r="P178" t="s">
        <v>569</v>
      </c>
      <c r="Q178">
        <v>1000</v>
      </c>
      <c r="X178">
        <v>1E-4</v>
      </c>
      <c r="Y178">
        <v>184462.17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1E-4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ROW(Source!A242)</f>
        <v>242</v>
      </c>
      <c r="B179">
        <v>1471996040</v>
      </c>
      <c r="C179">
        <v>1471751463</v>
      </c>
      <c r="D179">
        <v>1441834634</v>
      </c>
      <c r="E179">
        <v>1</v>
      </c>
      <c r="F179">
        <v>1</v>
      </c>
      <c r="G179">
        <v>15514512</v>
      </c>
      <c r="H179">
        <v>3</v>
      </c>
      <c r="I179" t="s">
        <v>602</v>
      </c>
      <c r="J179" t="s">
        <v>603</v>
      </c>
      <c r="K179" t="s">
        <v>604</v>
      </c>
      <c r="L179">
        <v>1348</v>
      </c>
      <c r="N179">
        <v>1009</v>
      </c>
      <c r="O179" t="s">
        <v>569</v>
      </c>
      <c r="P179" t="s">
        <v>569</v>
      </c>
      <c r="Q179">
        <v>1000</v>
      </c>
      <c r="X179">
        <v>4.0000000000000002E-4</v>
      </c>
      <c r="Y179">
        <v>88053.759999999995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4.0000000000000002E-4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ROW(Source!A242)</f>
        <v>242</v>
      </c>
      <c r="B180">
        <v>1471996041</v>
      </c>
      <c r="C180">
        <v>1471751463</v>
      </c>
      <c r="D180">
        <v>1441834836</v>
      </c>
      <c r="E180">
        <v>1</v>
      </c>
      <c r="F180">
        <v>1</v>
      </c>
      <c r="G180">
        <v>15514512</v>
      </c>
      <c r="H180">
        <v>3</v>
      </c>
      <c r="I180" t="s">
        <v>605</v>
      </c>
      <c r="J180" t="s">
        <v>606</v>
      </c>
      <c r="K180" t="s">
        <v>607</v>
      </c>
      <c r="L180">
        <v>1348</v>
      </c>
      <c r="N180">
        <v>1009</v>
      </c>
      <c r="O180" t="s">
        <v>569</v>
      </c>
      <c r="P180" t="s">
        <v>569</v>
      </c>
      <c r="Q180">
        <v>1000</v>
      </c>
      <c r="X180">
        <v>9.8999999999999999E-4</v>
      </c>
      <c r="Y180">
        <v>93194.67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9.8999999999999999E-4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ROW(Source!A242)</f>
        <v>242</v>
      </c>
      <c r="B181">
        <v>1471996042</v>
      </c>
      <c r="C181">
        <v>1471751463</v>
      </c>
      <c r="D181">
        <v>1441822273</v>
      </c>
      <c r="E181">
        <v>15514512</v>
      </c>
      <c r="F181">
        <v>1</v>
      </c>
      <c r="G181">
        <v>15514512</v>
      </c>
      <c r="H181">
        <v>3</v>
      </c>
      <c r="I181" t="s">
        <v>611</v>
      </c>
      <c r="J181" t="s">
        <v>3</v>
      </c>
      <c r="K181" t="s">
        <v>612</v>
      </c>
      <c r="L181">
        <v>1348</v>
      </c>
      <c r="N181">
        <v>1009</v>
      </c>
      <c r="O181" t="s">
        <v>569</v>
      </c>
      <c r="P181" t="s">
        <v>569</v>
      </c>
      <c r="Q181">
        <v>1000</v>
      </c>
      <c r="X181">
        <v>1.1E-4</v>
      </c>
      <c r="Y181">
        <v>94640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1.1E-4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ROW(Source!A243)</f>
        <v>243</v>
      </c>
      <c r="B182">
        <v>1471996088</v>
      </c>
      <c r="C182">
        <v>1471751494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563</v>
      </c>
      <c r="J182" t="s">
        <v>3</v>
      </c>
      <c r="K182" t="s">
        <v>564</v>
      </c>
      <c r="L182">
        <v>1191</v>
      </c>
      <c r="N182">
        <v>1013</v>
      </c>
      <c r="O182" t="s">
        <v>565</v>
      </c>
      <c r="P182" t="s">
        <v>565</v>
      </c>
      <c r="Q182">
        <v>1</v>
      </c>
      <c r="X182">
        <v>7.98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7.98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ROW(Source!A243)</f>
        <v>243</v>
      </c>
      <c r="B183">
        <v>1471996089</v>
      </c>
      <c r="C183">
        <v>1471751494</v>
      </c>
      <c r="D183">
        <v>1441836235</v>
      </c>
      <c r="E183">
        <v>1</v>
      </c>
      <c r="F183">
        <v>1</v>
      </c>
      <c r="G183">
        <v>15514512</v>
      </c>
      <c r="H183">
        <v>3</v>
      </c>
      <c r="I183" t="s">
        <v>578</v>
      </c>
      <c r="J183" t="s">
        <v>579</v>
      </c>
      <c r="K183" t="s">
        <v>580</v>
      </c>
      <c r="L183">
        <v>1346</v>
      </c>
      <c r="N183">
        <v>1009</v>
      </c>
      <c r="O183" t="s">
        <v>577</v>
      </c>
      <c r="P183" t="s">
        <v>577</v>
      </c>
      <c r="Q183">
        <v>1</v>
      </c>
      <c r="X183">
        <v>0.06</v>
      </c>
      <c r="Y183">
        <v>31.49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0.06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ROW(Source!A243)</f>
        <v>243</v>
      </c>
      <c r="B184">
        <v>1471996090</v>
      </c>
      <c r="C184">
        <v>1471751494</v>
      </c>
      <c r="D184">
        <v>1441821379</v>
      </c>
      <c r="E184">
        <v>15514512</v>
      </c>
      <c r="F184">
        <v>1</v>
      </c>
      <c r="G184">
        <v>15514512</v>
      </c>
      <c r="H184">
        <v>3</v>
      </c>
      <c r="I184" t="s">
        <v>635</v>
      </c>
      <c r="J184" t="s">
        <v>3</v>
      </c>
      <c r="K184" t="s">
        <v>636</v>
      </c>
      <c r="L184">
        <v>1346</v>
      </c>
      <c r="N184">
        <v>1009</v>
      </c>
      <c r="O184" t="s">
        <v>577</v>
      </c>
      <c r="P184" t="s">
        <v>577</v>
      </c>
      <c r="Q184">
        <v>1</v>
      </c>
      <c r="X184">
        <v>0.05</v>
      </c>
      <c r="Y184">
        <v>89.933959999999999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0.05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ROW(Source!A244)</f>
        <v>244</v>
      </c>
      <c r="B185">
        <v>1471996134</v>
      </c>
      <c r="C185">
        <v>1471751504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563</v>
      </c>
      <c r="J185" t="s">
        <v>3</v>
      </c>
      <c r="K185" t="s">
        <v>564</v>
      </c>
      <c r="L185">
        <v>1191</v>
      </c>
      <c r="N185">
        <v>1013</v>
      </c>
      <c r="O185" t="s">
        <v>565</v>
      </c>
      <c r="P185" t="s">
        <v>565</v>
      </c>
      <c r="Q185">
        <v>1</v>
      </c>
      <c r="X185">
        <v>2.78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117</v>
      </c>
      <c r="AG185">
        <v>5.56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ROW(Source!A244)</f>
        <v>244</v>
      </c>
      <c r="B186">
        <v>1471996135</v>
      </c>
      <c r="C186">
        <v>1471751504</v>
      </c>
      <c r="D186">
        <v>1441836235</v>
      </c>
      <c r="E186">
        <v>1</v>
      </c>
      <c r="F186">
        <v>1</v>
      </c>
      <c r="G186">
        <v>15514512</v>
      </c>
      <c r="H186">
        <v>3</v>
      </c>
      <c r="I186" t="s">
        <v>578</v>
      </c>
      <c r="J186" t="s">
        <v>579</v>
      </c>
      <c r="K186" t="s">
        <v>580</v>
      </c>
      <c r="L186">
        <v>1346</v>
      </c>
      <c r="N186">
        <v>1009</v>
      </c>
      <c r="O186" t="s">
        <v>577</v>
      </c>
      <c r="P186" t="s">
        <v>577</v>
      </c>
      <c r="Q186">
        <v>1</v>
      </c>
      <c r="X186">
        <v>4.0000000000000001E-3</v>
      </c>
      <c r="Y186">
        <v>31.49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117</v>
      </c>
      <c r="AG186">
        <v>8.0000000000000002E-3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ROW(Source!A245)</f>
        <v>245</v>
      </c>
      <c r="B187">
        <v>1471996179</v>
      </c>
      <c r="C187">
        <v>1471751511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563</v>
      </c>
      <c r="J187" t="s">
        <v>3</v>
      </c>
      <c r="K187" t="s">
        <v>564</v>
      </c>
      <c r="L187">
        <v>1191</v>
      </c>
      <c r="N187">
        <v>1013</v>
      </c>
      <c r="O187" t="s">
        <v>565</v>
      </c>
      <c r="P187" t="s">
        <v>565</v>
      </c>
      <c r="Q187">
        <v>1</v>
      </c>
      <c r="X187">
        <v>1.5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117</v>
      </c>
      <c r="AG187">
        <v>3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ROW(Source!A245)</f>
        <v>245</v>
      </c>
      <c r="B188">
        <v>1471996180</v>
      </c>
      <c r="C188">
        <v>1471751511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578</v>
      </c>
      <c r="J188" t="s">
        <v>579</v>
      </c>
      <c r="K188" t="s">
        <v>580</v>
      </c>
      <c r="L188">
        <v>1346</v>
      </c>
      <c r="N188">
        <v>1009</v>
      </c>
      <c r="O188" t="s">
        <v>577</v>
      </c>
      <c r="P188" t="s">
        <v>577</v>
      </c>
      <c r="Q188">
        <v>1</v>
      </c>
      <c r="X188">
        <v>4.1999999999999997E-3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117</v>
      </c>
      <c r="AG188">
        <v>8.3999999999999995E-3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ROW(Source!A246)</f>
        <v>246</v>
      </c>
      <c r="B189">
        <v>1471996205</v>
      </c>
      <c r="C189">
        <v>1471751519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563</v>
      </c>
      <c r="J189" t="s">
        <v>3</v>
      </c>
      <c r="K189" t="s">
        <v>564</v>
      </c>
      <c r="L189">
        <v>1191</v>
      </c>
      <c r="N189">
        <v>1013</v>
      </c>
      <c r="O189" t="s">
        <v>565</v>
      </c>
      <c r="P189" t="s">
        <v>565</v>
      </c>
      <c r="Q189">
        <v>1</v>
      </c>
      <c r="X189">
        <v>36.1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36.1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ROW(Source!A246)</f>
        <v>246</v>
      </c>
      <c r="B190">
        <v>1471996206</v>
      </c>
      <c r="C190">
        <v>1471751519</v>
      </c>
      <c r="D190">
        <v>1441835475</v>
      </c>
      <c r="E190">
        <v>1</v>
      </c>
      <c r="F190">
        <v>1</v>
      </c>
      <c r="G190">
        <v>15514512</v>
      </c>
      <c r="H190">
        <v>3</v>
      </c>
      <c r="I190" t="s">
        <v>581</v>
      </c>
      <c r="J190" t="s">
        <v>582</v>
      </c>
      <c r="K190" t="s">
        <v>583</v>
      </c>
      <c r="L190">
        <v>1348</v>
      </c>
      <c r="N190">
        <v>1009</v>
      </c>
      <c r="O190" t="s">
        <v>569</v>
      </c>
      <c r="P190" t="s">
        <v>569</v>
      </c>
      <c r="Q190">
        <v>1000</v>
      </c>
      <c r="X190">
        <v>2.9999999999999997E-4</v>
      </c>
      <c r="Y190">
        <v>155908.07999999999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2.9999999999999997E-4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ROW(Source!A246)</f>
        <v>246</v>
      </c>
      <c r="B191">
        <v>1471996207</v>
      </c>
      <c r="C191">
        <v>1471751519</v>
      </c>
      <c r="D191">
        <v>1441835549</v>
      </c>
      <c r="E191">
        <v>1</v>
      </c>
      <c r="F191">
        <v>1</v>
      </c>
      <c r="G191">
        <v>15514512</v>
      </c>
      <c r="H191">
        <v>3</v>
      </c>
      <c r="I191" t="s">
        <v>584</v>
      </c>
      <c r="J191" t="s">
        <v>585</v>
      </c>
      <c r="K191" t="s">
        <v>586</v>
      </c>
      <c r="L191">
        <v>1348</v>
      </c>
      <c r="N191">
        <v>1009</v>
      </c>
      <c r="O191" t="s">
        <v>569</v>
      </c>
      <c r="P191" t="s">
        <v>569</v>
      </c>
      <c r="Q191">
        <v>1000</v>
      </c>
      <c r="X191">
        <v>1E-4</v>
      </c>
      <c r="Y191">
        <v>194655.19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1E-4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ROW(Source!A246)</f>
        <v>246</v>
      </c>
      <c r="B192">
        <v>1471996209</v>
      </c>
      <c r="C192">
        <v>1471751519</v>
      </c>
      <c r="D192">
        <v>1441836250</v>
      </c>
      <c r="E192">
        <v>1</v>
      </c>
      <c r="F192">
        <v>1</v>
      </c>
      <c r="G192">
        <v>15514512</v>
      </c>
      <c r="H192">
        <v>3</v>
      </c>
      <c r="I192" t="s">
        <v>656</v>
      </c>
      <c r="J192" t="s">
        <v>657</v>
      </c>
      <c r="K192" t="s">
        <v>658</v>
      </c>
      <c r="L192">
        <v>1327</v>
      </c>
      <c r="N192">
        <v>1005</v>
      </c>
      <c r="O192" t="s">
        <v>659</v>
      </c>
      <c r="P192" t="s">
        <v>659</v>
      </c>
      <c r="Q192">
        <v>1</v>
      </c>
      <c r="X192">
        <v>1.1000000000000001</v>
      </c>
      <c r="Y192">
        <v>149.25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1.1000000000000001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ROW(Source!A246)</f>
        <v>246</v>
      </c>
      <c r="B193">
        <v>1471996210</v>
      </c>
      <c r="C193">
        <v>1471751519</v>
      </c>
      <c r="D193">
        <v>1441834635</v>
      </c>
      <c r="E193">
        <v>1</v>
      </c>
      <c r="F193">
        <v>1</v>
      </c>
      <c r="G193">
        <v>15514512</v>
      </c>
      <c r="H193">
        <v>3</v>
      </c>
      <c r="I193" t="s">
        <v>593</v>
      </c>
      <c r="J193" t="s">
        <v>594</v>
      </c>
      <c r="K193" t="s">
        <v>595</v>
      </c>
      <c r="L193">
        <v>1339</v>
      </c>
      <c r="N193">
        <v>1007</v>
      </c>
      <c r="O193" t="s">
        <v>573</v>
      </c>
      <c r="P193" t="s">
        <v>573</v>
      </c>
      <c r="Q193">
        <v>1</v>
      </c>
      <c r="X193">
        <v>0.5</v>
      </c>
      <c r="Y193">
        <v>103.4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0.5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ROW(Source!A246)</f>
        <v>246</v>
      </c>
      <c r="B194">
        <v>1471996211</v>
      </c>
      <c r="C194">
        <v>1471751519</v>
      </c>
      <c r="D194">
        <v>1441834627</v>
      </c>
      <c r="E194">
        <v>1</v>
      </c>
      <c r="F194">
        <v>1</v>
      </c>
      <c r="G194">
        <v>15514512</v>
      </c>
      <c r="H194">
        <v>3</v>
      </c>
      <c r="I194" t="s">
        <v>596</v>
      </c>
      <c r="J194" t="s">
        <v>597</v>
      </c>
      <c r="K194" t="s">
        <v>598</v>
      </c>
      <c r="L194">
        <v>1339</v>
      </c>
      <c r="N194">
        <v>1007</v>
      </c>
      <c r="O194" t="s">
        <v>573</v>
      </c>
      <c r="P194" t="s">
        <v>573</v>
      </c>
      <c r="Q194">
        <v>1</v>
      </c>
      <c r="X194">
        <v>0.3</v>
      </c>
      <c r="Y194">
        <v>875.46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0.3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ROW(Source!A246)</f>
        <v>246</v>
      </c>
      <c r="B195">
        <v>1471996212</v>
      </c>
      <c r="C195">
        <v>1471751519</v>
      </c>
      <c r="D195">
        <v>1441834671</v>
      </c>
      <c r="E195">
        <v>1</v>
      </c>
      <c r="F195">
        <v>1</v>
      </c>
      <c r="G195">
        <v>15514512</v>
      </c>
      <c r="H195">
        <v>3</v>
      </c>
      <c r="I195" t="s">
        <v>599</v>
      </c>
      <c r="J195" t="s">
        <v>600</v>
      </c>
      <c r="K195" t="s">
        <v>601</v>
      </c>
      <c r="L195">
        <v>1348</v>
      </c>
      <c r="N195">
        <v>1009</v>
      </c>
      <c r="O195" t="s">
        <v>569</v>
      </c>
      <c r="P195" t="s">
        <v>569</v>
      </c>
      <c r="Q195">
        <v>1000</v>
      </c>
      <c r="X195">
        <v>1E-4</v>
      </c>
      <c r="Y195">
        <v>184462.17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</v>
      </c>
      <c r="AG195">
        <v>1E-4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ROW(Source!A246)</f>
        <v>246</v>
      </c>
      <c r="B196">
        <v>1471996214</v>
      </c>
      <c r="C196">
        <v>1471751519</v>
      </c>
      <c r="D196">
        <v>1441834634</v>
      </c>
      <c r="E196">
        <v>1</v>
      </c>
      <c r="F196">
        <v>1</v>
      </c>
      <c r="G196">
        <v>15514512</v>
      </c>
      <c r="H196">
        <v>3</v>
      </c>
      <c r="I196" t="s">
        <v>602</v>
      </c>
      <c r="J196" t="s">
        <v>603</v>
      </c>
      <c r="K196" t="s">
        <v>604</v>
      </c>
      <c r="L196">
        <v>1348</v>
      </c>
      <c r="N196">
        <v>1009</v>
      </c>
      <c r="O196" t="s">
        <v>569</v>
      </c>
      <c r="P196" t="s">
        <v>569</v>
      </c>
      <c r="Q196">
        <v>1000</v>
      </c>
      <c r="X196">
        <v>2.9999999999999997E-4</v>
      </c>
      <c r="Y196">
        <v>88053.759999999995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2.9999999999999997E-4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ROW(Source!A246)</f>
        <v>246</v>
      </c>
      <c r="B197">
        <v>1471996215</v>
      </c>
      <c r="C197">
        <v>1471751519</v>
      </c>
      <c r="D197">
        <v>1441834836</v>
      </c>
      <c r="E197">
        <v>1</v>
      </c>
      <c r="F197">
        <v>1</v>
      </c>
      <c r="G197">
        <v>15514512</v>
      </c>
      <c r="H197">
        <v>3</v>
      </c>
      <c r="I197" t="s">
        <v>605</v>
      </c>
      <c r="J197" t="s">
        <v>606</v>
      </c>
      <c r="K197" t="s">
        <v>607</v>
      </c>
      <c r="L197">
        <v>1348</v>
      </c>
      <c r="N197">
        <v>1009</v>
      </c>
      <c r="O197" t="s">
        <v>569</v>
      </c>
      <c r="P197" t="s">
        <v>569</v>
      </c>
      <c r="Q197">
        <v>1000</v>
      </c>
      <c r="X197">
        <v>6.3000000000000003E-4</v>
      </c>
      <c r="Y197">
        <v>93194.67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3</v>
      </c>
      <c r="AG197">
        <v>6.3000000000000003E-4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ROW(Source!A246)</f>
        <v>246</v>
      </c>
      <c r="B198">
        <v>1471996216</v>
      </c>
      <c r="C198">
        <v>1471751519</v>
      </c>
      <c r="D198">
        <v>1441822273</v>
      </c>
      <c r="E198">
        <v>15514512</v>
      </c>
      <c r="F198">
        <v>1</v>
      </c>
      <c r="G198">
        <v>15514512</v>
      </c>
      <c r="H198">
        <v>3</v>
      </c>
      <c r="I198" t="s">
        <v>611</v>
      </c>
      <c r="J198" t="s">
        <v>3</v>
      </c>
      <c r="K198" t="s">
        <v>612</v>
      </c>
      <c r="L198">
        <v>1348</v>
      </c>
      <c r="N198">
        <v>1009</v>
      </c>
      <c r="O198" t="s">
        <v>569</v>
      </c>
      <c r="P198" t="s">
        <v>569</v>
      </c>
      <c r="Q198">
        <v>1000</v>
      </c>
      <c r="X198">
        <v>6.9999999999999994E-5</v>
      </c>
      <c r="Y198">
        <v>94640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6.9999999999999994E-5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ROW(Source!A247)</f>
        <v>247</v>
      </c>
      <c r="B199">
        <v>1471996244</v>
      </c>
      <c r="C199">
        <v>1471751550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563</v>
      </c>
      <c r="J199" t="s">
        <v>3</v>
      </c>
      <c r="K199" t="s">
        <v>564</v>
      </c>
      <c r="L199">
        <v>1191</v>
      </c>
      <c r="N199">
        <v>1013</v>
      </c>
      <c r="O199" t="s">
        <v>565</v>
      </c>
      <c r="P199" t="s">
        <v>565</v>
      </c>
      <c r="Q199">
        <v>1</v>
      </c>
      <c r="X199">
        <v>5.5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5.5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ROW(Source!A247)</f>
        <v>247</v>
      </c>
      <c r="B200">
        <v>1471996245</v>
      </c>
      <c r="C200">
        <v>1471751550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578</v>
      </c>
      <c r="J200" t="s">
        <v>579</v>
      </c>
      <c r="K200" t="s">
        <v>580</v>
      </c>
      <c r="L200">
        <v>1346</v>
      </c>
      <c r="N200">
        <v>1009</v>
      </c>
      <c r="O200" t="s">
        <v>577</v>
      </c>
      <c r="P200" t="s">
        <v>577</v>
      </c>
      <c r="Q200">
        <v>1</v>
      </c>
      <c r="X200">
        <v>0.02</v>
      </c>
      <c r="Y200">
        <v>31.49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0.02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ROW(Source!A247)</f>
        <v>247</v>
      </c>
      <c r="B201">
        <v>1471996246</v>
      </c>
      <c r="C201">
        <v>1471751550</v>
      </c>
      <c r="D201">
        <v>1441821379</v>
      </c>
      <c r="E201">
        <v>15514512</v>
      </c>
      <c r="F201">
        <v>1</v>
      </c>
      <c r="G201">
        <v>15514512</v>
      </c>
      <c r="H201">
        <v>3</v>
      </c>
      <c r="I201" t="s">
        <v>635</v>
      </c>
      <c r="J201" t="s">
        <v>3</v>
      </c>
      <c r="K201" t="s">
        <v>636</v>
      </c>
      <c r="L201">
        <v>1346</v>
      </c>
      <c r="N201">
        <v>1009</v>
      </c>
      <c r="O201" t="s">
        <v>577</v>
      </c>
      <c r="P201" t="s">
        <v>577</v>
      </c>
      <c r="Q201">
        <v>1</v>
      </c>
      <c r="X201">
        <v>2.4E-2</v>
      </c>
      <c r="Y201">
        <v>89.933959999999999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2.4E-2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ROW(Source!A248)</f>
        <v>248</v>
      </c>
      <c r="B202">
        <v>1471996292</v>
      </c>
      <c r="C202">
        <v>1471751560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563</v>
      </c>
      <c r="J202" t="s">
        <v>3</v>
      </c>
      <c r="K202" t="s">
        <v>564</v>
      </c>
      <c r="L202">
        <v>1191</v>
      </c>
      <c r="N202">
        <v>1013</v>
      </c>
      <c r="O202" t="s">
        <v>565</v>
      </c>
      <c r="P202" t="s">
        <v>565</v>
      </c>
      <c r="Q202">
        <v>1</v>
      </c>
      <c r="X202">
        <v>2.38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117</v>
      </c>
      <c r="AG202">
        <v>4.76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ROW(Source!A248)</f>
        <v>248</v>
      </c>
      <c r="B203">
        <v>1471996293</v>
      </c>
      <c r="C203">
        <v>1471751560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578</v>
      </c>
      <c r="J203" t="s">
        <v>579</v>
      </c>
      <c r="K203" t="s">
        <v>580</v>
      </c>
      <c r="L203">
        <v>1346</v>
      </c>
      <c r="N203">
        <v>1009</v>
      </c>
      <c r="O203" t="s">
        <v>577</v>
      </c>
      <c r="P203" t="s">
        <v>577</v>
      </c>
      <c r="Q203">
        <v>1</v>
      </c>
      <c r="X203">
        <v>1E-3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117</v>
      </c>
      <c r="AG203">
        <v>2E-3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ROW(Source!A249)</f>
        <v>249</v>
      </c>
      <c r="B204">
        <v>1471996321</v>
      </c>
      <c r="C204">
        <v>1471751567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563</v>
      </c>
      <c r="J204" t="s">
        <v>3</v>
      </c>
      <c r="K204" t="s">
        <v>564</v>
      </c>
      <c r="L204">
        <v>1191</v>
      </c>
      <c r="N204">
        <v>1013</v>
      </c>
      <c r="O204" t="s">
        <v>565</v>
      </c>
      <c r="P204" t="s">
        <v>565</v>
      </c>
      <c r="Q204">
        <v>1</v>
      </c>
      <c r="X204">
        <v>1.1000000000000001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117</v>
      </c>
      <c r="AG204">
        <v>2.2000000000000002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ROW(Source!A249)</f>
        <v>249</v>
      </c>
      <c r="B205">
        <v>1471996322</v>
      </c>
      <c r="C205">
        <v>1471751567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578</v>
      </c>
      <c r="J205" t="s">
        <v>579</v>
      </c>
      <c r="K205" t="s">
        <v>580</v>
      </c>
      <c r="L205">
        <v>1346</v>
      </c>
      <c r="N205">
        <v>1009</v>
      </c>
      <c r="O205" t="s">
        <v>577</v>
      </c>
      <c r="P205" t="s">
        <v>577</v>
      </c>
      <c r="Q205">
        <v>1</v>
      </c>
      <c r="X205">
        <v>1.1999999999999999E-3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117</v>
      </c>
      <c r="AG205">
        <v>2.3999999999999998E-3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ROW(Source!A250)</f>
        <v>250</v>
      </c>
      <c r="B206">
        <v>1471996365</v>
      </c>
      <c r="C206">
        <v>1471751574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563</v>
      </c>
      <c r="J206" t="s">
        <v>3</v>
      </c>
      <c r="K206" t="s">
        <v>564</v>
      </c>
      <c r="L206">
        <v>1191</v>
      </c>
      <c r="N206">
        <v>1013</v>
      </c>
      <c r="O206" t="s">
        <v>565</v>
      </c>
      <c r="P206" t="s">
        <v>565</v>
      </c>
      <c r="Q206">
        <v>1</v>
      </c>
      <c r="X206">
        <v>13.13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13.13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ROW(Source!A250)</f>
        <v>250</v>
      </c>
      <c r="B207">
        <v>1471996366</v>
      </c>
      <c r="C207">
        <v>1471751574</v>
      </c>
      <c r="D207">
        <v>1441834138</v>
      </c>
      <c r="E207">
        <v>1</v>
      </c>
      <c r="F207">
        <v>1</v>
      </c>
      <c r="G207">
        <v>15514512</v>
      </c>
      <c r="H207">
        <v>2</v>
      </c>
      <c r="I207" t="s">
        <v>660</v>
      </c>
      <c r="J207" t="s">
        <v>661</v>
      </c>
      <c r="K207" t="s">
        <v>662</v>
      </c>
      <c r="L207">
        <v>1368</v>
      </c>
      <c r="N207">
        <v>1011</v>
      </c>
      <c r="O207" t="s">
        <v>616</v>
      </c>
      <c r="P207" t="s">
        <v>616</v>
      </c>
      <c r="Q207">
        <v>1</v>
      </c>
      <c r="X207">
        <v>1.7</v>
      </c>
      <c r="Y207">
        <v>0</v>
      </c>
      <c r="Z207">
        <v>45.56</v>
      </c>
      <c r="AA207">
        <v>0.57999999999999996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1.7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ROW(Source!A250)</f>
        <v>250</v>
      </c>
      <c r="B208">
        <v>1471996368</v>
      </c>
      <c r="C208">
        <v>1471751574</v>
      </c>
      <c r="D208">
        <v>1441834143</v>
      </c>
      <c r="E208">
        <v>1</v>
      </c>
      <c r="F208">
        <v>1</v>
      </c>
      <c r="G208">
        <v>15514512</v>
      </c>
      <c r="H208">
        <v>2</v>
      </c>
      <c r="I208" t="s">
        <v>663</v>
      </c>
      <c r="J208" t="s">
        <v>664</v>
      </c>
      <c r="K208" t="s">
        <v>665</v>
      </c>
      <c r="L208">
        <v>1368</v>
      </c>
      <c r="N208">
        <v>1011</v>
      </c>
      <c r="O208" t="s">
        <v>616</v>
      </c>
      <c r="P208" t="s">
        <v>616</v>
      </c>
      <c r="Q208">
        <v>1</v>
      </c>
      <c r="X208">
        <v>1.7</v>
      </c>
      <c r="Y208">
        <v>0</v>
      </c>
      <c r="Z208">
        <v>61.25</v>
      </c>
      <c r="AA208">
        <v>3.11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1.7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ROW(Source!A250)</f>
        <v>250</v>
      </c>
      <c r="B209">
        <v>1471996369</v>
      </c>
      <c r="C209">
        <v>1471751574</v>
      </c>
      <c r="D209">
        <v>1441834258</v>
      </c>
      <c r="E209">
        <v>1</v>
      </c>
      <c r="F209">
        <v>1</v>
      </c>
      <c r="G209">
        <v>15514512</v>
      </c>
      <c r="H209">
        <v>2</v>
      </c>
      <c r="I209" t="s">
        <v>613</v>
      </c>
      <c r="J209" t="s">
        <v>614</v>
      </c>
      <c r="K209" t="s">
        <v>615</v>
      </c>
      <c r="L209">
        <v>1368</v>
      </c>
      <c r="N209">
        <v>1011</v>
      </c>
      <c r="O209" t="s">
        <v>616</v>
      </c>
      <c r="P209" t="s">
        <v>616</v>
      </c>
      <c r="Q209">
        <v>1</v>
      </c>
      <c r="X209">
        <v>3.31</v>
      </c>
      <c r="Y209">
        <v>0</v>
      </c>
      <c r="Z209">
        <v>1303.01</v>
      </c>
      <c r="AA209">
        <v>826.2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3.31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ROW(Source!A250)</f>
        <v>250</v>
      </c>
      <c r="B210">
        <v>1471996370</v>
      </c>
      <c r="C210">
        <v>1471751574</v>
      </c>
      <c r="D210">
        <v>1441834334</v>
      </c>
      <c r="E210">
        <v>1</v>
      </c>
      <c r="F210">
        <v>1</v>
      </c>
      <c r="G210">
        <v>15514512</v>
      </c>
      <c r="H210">
        <v>2</v>
      </c>
      <c r="I210" t="s">
        <v>666</v>
      </c>
      <c r="J210" t="s">
        <v>667</v>
      </c>
      <c r="K210" t="s">
        <v>668</v>
      </c>
      <c r="L210">
        <v>1368</v>
      </c>
      <c r="N210">
        <v>1011</v>
      </c>
      <c r="O210" t="s">
        <v>616</v>
      </c>
      <c r="P210" t="s">
        <v>616</v>
      </c>
      <c r="Q210">
        <v>1</v>
      </c>
      <c r="X210">
        <v>0.4</v>
      </c>
      <c r="Y210">
        <v>0</v>
      </c>
      <c r="Z210">
        <v>10.66</v>
      </c>
      <c r="AA210">
        <v>0.12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0.4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ROW(Source!A250)</f>
        <v>250</v>
      </c>
      <c r="B211">
        <v>1471996371</v>
      </c>
      <c r="C211">
        <v>1471751574</v>
      </c>
      <c r="D211">
        <v>1441836235</v>
      </c>
      <c r="E211">
        <v>1</v>
      </c>
      <c r="F211">
        <v>1</v>
      </c>
      <c r="G211">
        <v>15514512</v>
      </c>
      <c r="H211">
        <v>3</v>
      </c>
      <c r="I211" t="s">
        <v>578</v>
      </c>
      <c r="J211" t="s">
        <v>579</v>
      </c>
      <c r="K211" t="s">
        <v>580</v>
      </c>
      <c r="L211">
        <v>1346</v>
      </c>
      <c r="N211">
        <v>1009</v>
      </c>
      <c r="O211" t="s">
        <v>577</v>
      </c>
      <c r="P211" t="s">
        <v>577</v>
      </c>
      <c r="Q211">
        <v>1</v>
      </c>
      <c r="X211">
        <v>0.15</v>
      </c>
      <c r="Y211">
        <v>31.49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0.15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ROW(Source!A251)</f>
        <v>251</v>
      </c>
      <c r="B212">
        <v>1471996390</v>
      </c>
      <c r="C212">
        <v>1471751593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563</v>
      </c>
      <c r="J212" t="s">
        <v>3</v>
      </c>
      <c r="K212" t="s">
        <v>564</v>
      </c>
      <c r="L212">
        <v>1191</v>
      </c>
      <c r="N212">
        <v>1013</v>
      </c>
      <c r="O212" t="s">
        <v>565</v>
      </c>
      <c r="P212" t="s">
        <v>565</v>
      </c>
      <c r="Q212">
        <v>1</v>
      </c>
      <c r="X212">
        <v>2.1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</v>
      </c>
      <c r="AG212">
        <v>2.1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ROW(Source!A251)</f>
        <v>251</v>
      </c>
      <c r="B213">
        <v>1471996391</v>
      </c>
      <c r="C213">
        <v>1471751593</v>
      </c>
      <c r="D213">
        <v>1441834139</v>
      </c>
      <c r="E213">
        <v>1</v>
      </c>
      <c r="F213">
        <v>1</v>
      </c>
      <c r="G213">
        <v>15514512</v>
      </c>
      <c r="H213">
        <v>2</v>
      </c>
      <c r="I213" t="s">
        <v>669</v>
      </c>
      <c r="J213" t="s">
        <v>670</v>
      </c>
      <c r="K213" t="s">
        <v>671</v>
      </c>
      <c r="L213">
        <v>1368</v>
      </c>
      <c r="N213">
        <v>1011</v>
      </c>
      <c r="O213" t="s">
        <v>616</v>
      </c>
      <c r="P213" t="s">
        <v>616</v>
      </c>
      <c r="Q213">
        <v>1</v>
      </c>
      <c r="X213">
        <v>0.3</v>
      </c>
      <c r="Y213">
        <v>0</v>
      </c>
      <c r="Z213">
        <v>8.82</v>
      </c>
      <c r="AA213">
        <v>0.11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0.3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ROW(Source!A251)</f>
        <v>251</v>
      </c>
      <c r="B214">
        <v>1471996392</v>
      </c>
      <c r="C214">
        <v>1471751593</v>
      </c>
      <c r="D214">
        <v>1441834258</v>
      </c>
      <c r="E214">
        <v>1</v>
      </c>
      <c r="F214">
        <v>1</v>
      </c>
      <c r="G214">
        <v>15514512</v>
      </c>
      <c r="H214">
        <v>2</v>
      </c>
      <c r="I214" t="s">
        <v>613</v>
      </c>
      <c r="J214" t="s">
        <v>614</v>
      </c>
      <c r="K214" t="s">
        <v>615</v>
      </c>
      <c r="L214">
        <v>1368</v>
      </c>
      <c r="N214">
        <v>1011</v>
      </c>
      <c r="O214" t="s">
        <v>616</v>
      </c>
      <c r="P214" t="s">
        <v>616</v>
      </c>
      <c r="Q214">
        <v>1</v>
      </c>
      <c r="X214">
        <v>0.52</v>
      </c>
      <c r="Y214">
        <v>0</v>
      </c>
      <c r="Z214">
        <v>1303.01</v>
      </c>
      <c r="AA214">
        <v>826.2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0.52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ROW(Source!A251)</f>
        <v>251</v>
      </c>
      <c r="B215">
        <v>1471996393</v>
      </c>
      <c r="C215">
        <v>1471751593</v>
      </c>
      <c r="D215">
        <v>1441836393</v>
      </c>
      <c r="E215">
        <v>1</v>
      </c>
      <c r="F215">
        <v>1</v>
      </c>
      <c r="G215">
        <v>15514512</v>
      </c>
      <c r="H215">
        <v>3</v>
      </c>
      <c r="I215" t="s">
        <v>672</v>
      </c>
      <c r="J215" t="s">
        <v>673</v>
      </c>
      <c r="K215" t="s">
        <v>674</v>
      </c>
      <c r="L215">
        <v>1296</v>
      </c>
      <c r="N215">
        <v>1002</v>
      </c>
      <c r="O215" t="s">
        <v>623</v>
      </c>
      <c r="P215" t="s">
        <v>623</v>
      </c>
      <c r="Q215">
        <v>1</v>
      </c>
      <c r="X215">
        <v>3.8E-3</v>
      </c>
      <c r="Y215">
        <v>4241.6400000000003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3.8E-3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ROW(Source!A251)</f>
        <v>251</v>
      </c>
      <c r="B216">
        <v>1471996395</v>
      </c>
      <c r="C216">
        <v>1471751593</v>
      </c>
      <c r="D216">
        <v>1441836514</v>
      </c>
      <c r="E216">
        <v>1</v>
      </c>
      <c r="F216">
        <v>1</v>
      </c>
      <c r="G216">
        <v>15514512</v>
      </c>
      <c r="H216">
        <v>3</v>
      </c>
      <c r="I216" t="s">
        <v>570</v>
      </c>
      <c r="J216" t="s">
        <v>571</v>
      </c>
      <c r="K216" t="s">
        <v>572</v>
      </c>
      <c r="L216">
        <v>1339</v>
      </c>
      <c r="N216">
        <v>1007</v>
      </c>
      <c r="O216" t="s">
        <v>573</v>
      </c>
      <c r="P216" t="s">
        <v>573</v>
      </c>
      <c r="Q216">
        <v>1</v>
      </c>
      <c r="X216">
        <v>3.8E-3</v>
      </c>
      <c r="Y216">
        <v>54.81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3.8E-3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ROW(Source!A252)</f>
        <v>252</v>
      </c>
      <c r="B217">
        <v>1471996416</v>
      </c>
      <c r="C217">
        <v>1471751609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563</v>
      </c>
      <c r="J217" t="s">
        <v>3</v>
      </c>
      <c r="K217" t="s">
        <v>564</v>
      </c>
      <c r="L217">
        <v>1191</v>
      </c>
      <c r="N217">
        <v>1013</v>
      </c>
      <c r="O217" t="s">
        <v>565</v>
      </c>
      <c r="P217" t="s">
        <v>565</v>
      </c>
      <c r="Q217">
        <v>1</v>
      </c>
      <c r="X217">
        <v>0.4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1</v>
      </c>
      <c r="AF217" t="s">
        <v>117</v>
      </c>
      <c r="AG217">
        <v>0.8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ROW(Source!A253)</f>
        <v>253</v>
      </c>
      <c r="B218">
        <v>1471996532</v>
      </c>
      <c r="C218">
        <v>1471751613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563</v>
      </c>
      <c r="J218" t="s">
        <v>3</v>
      </c>
      <c r="K218" t="s">
        <v>564</v>
      </c>
      <c r="L218">
        <v>1191</v>
      </c>
      <c r="N218">
        <v>1013</v>
      </c>
      <c r="O218" t="s">
        <v>565</v>
      </c>
      <c r="P218" t="s">
        <v>565</v>
      </c>
      <c r="Q218">
        <v>1</v>
      </c>
      <c r="X218">
        <v>0.2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117</v>
      </c>
      <c r="AG218">
        <v>0.4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ROW(Source!A253)</f>
        <v>253</v>
      </c>
      <c r="B219">
        <v>1471996533</v>
      </c>
      <c r="C219">
        <v>1471751613</v>
      </c>
      <c r="D219">
        <v>1441834258</v>
      </c>
      <c r="E219">
        <v>1</v>
      </c>
      <c r="F219">
        <v>1</v>
      </c>
      <c r="G219">
        <v>15514512</v>
      </c>
      <c r="H219">
        <v>2</v>
      </c>
      <c r="I219" t="s">
        <v>613</v>
      </c>
      <c r="J219" t="s">
        <v>614</v>
      </c>
      <c r="K219" t="s">
        <v>615</v>
      </c>
      <c r="L219">
        <v>1368</v>
      </c>
      <c r="N219">
        <v>1011</v>
      </c>
      <c r="O219" t="s">
        <v>616</v>
      </c>
      <c r="P219" t="s">
        <v>616</v>
      </c>
      <c r="Q219">
        <v>1</v>
      </c>
      <c r="X219">
        <v>0.02</v>
      </c>
      <c r="Y219">
        <v>0</v>
      </c>
      <c r="Z219">
        <v>1303.01</v>
      </c>
      <c r="AA219">
        <v>826.2</v>
      </c>
      <c r="AB219">
        <v>0</v>
      </c>
      <c r="AC219">
        <v>0</v>
      </c>
      <c r="AD219">
        <v>1</v>
      </c>
      <c r="AE219">
        <v>0</v>
      </c>
      <c r="AF219" t="s">
        <v>117</v>
      </c>
      <c r="AG219">
        <v>0.04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ROW(Source!A253)</f>
        <v>253</v>
      </c>
      <c r="B220">
        <v>1471996534</v>
      </c>
      <c r="C220">
        <v>1471751613</v>
      </c>
      <c r="D220">
        <v>1441836235</v>
      </c>
      <c r="E220">
        <v>1</v>
      </c>
      <c r="F220">
        <v>1</v>
      </c>
      <c r="G220">
        <v>15514512</v>
      </c>
      <c r="H220">
        <v>3</v>
      </c>
      <c r="I220" t="s">
        <v>578</v>
      </c>
      <c r="J220" t="s">
        <v>579</v>
      </c>
      <c r="K220" t="s">
        <v>580</v>
      </c>
      <c r="L220">
        <v>1346</v>
      </c>
      <c r="N220">
        <v>1009</v>
      </c>
      <c r="O220" t="s">
        <v>577</v>
      </c>
      <c r="P220" t="s">
        <v>577</v>
      </c>
      <c r="Q220">
        <v>1</v>
      </c>
      <c r="X220">
        <v>1.4999999999999999E-2</v>
      </c>
      <c r="Y220">
        <v>31.49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117</v>
      </c>
      <c r="AG220">
        <v>0.03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ROW(Source!A254)</f>
        <v>254</v>
      </c>
      <c r="B221">
        <v>1471996770</v>
      </c>
      <c r="C221">
        <v>1471751623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563</v>
      </c>
      <c r="J221" t="s">
        <v>3</v>
      </c>
      <c r="K221" t="s">
        <v>564</v>
      </c>
      <c r="L221">
        <v>1191</v>
      </c>
      <c r="N221">
        <v>1013</v>
      </c>
      <c r="O221" t="s">
        <v>565</v>
      </c>
      <c r="P221" t="s">
        <v>565</v>
      </c>
      <c r="Q221">
        <v>1</v>
      </c>
      <c r="X221">
        <v>0.42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25</v>
      </c>
      <c r="AG221">
        <v>1.68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ROW(Source!A254)</f>
        <v>254</v>
      </c>
      <c r="B222">
        <v>1471996771</v>
      </c>
      <c r="C222">
        <v>1471751623</v>
      </c>
      <c r="D222">
        <v>1441834258</v>
      </c>
      <c r="E222">
        <v>1</v>
      </c>
      <c r="F222">
        <v>1</v>
      </c>
      <c r="G222">
        <v>15514512</v>
      </c>
      <c r="H222">
        <v>2</v>
      </c>
      <c r="I222" t="s">
        <v>613</v>
      </c>
      <c r="J222" t="s">
        <v>614</v>
      </c>
      <c r="K222" t="s">
        <v>615</v>
      </c>
      <c r="L222">
        <v>1368</v>
      </c>
      <c r="N222">
        <v>1011</v>
      </c>
      <c r="O222" t="s">
        <v>616</v>
      </c>
      <c r="P222" t="s">
        <v>616</v>
      </c>
      <c r="Q222">
        <v>1</v>
      </c>
      <c r="X222">
        <v>0.15</v>
      </c>
      <c r="Y222">
        <v>0</v>
      </c>
      <c r="Z222">
        <v>1303.01</v>
      </c>
      <c r="AA222">
        <v>826.2</v>
      </c>
      <c r="AB222">
        <v>0</v>
      </c>
      <c r="AC222">
        <v>0</v>
      </c>
      <c r="AD222">
        <v>1</v>
      </c>
      <c r="AE222">
        <v>0</v>
      </c>
      <c r="AF222" t="s">
        <v>25</v>
      </c>
      <c r="AG222">
        <v>0.6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ROW(Source!A254)</f>
        <v>254</v>
      </c>
      <c r="B223">
        <v>1471996772</v>
      </c>
      <c r="C223">
        <v>1471751623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578</v>
      </c>
      <c r="J223" t="s">
        <v>579</v>
      </c>
      <c r="K223" t="s">
        <v>580</v>
      </c>
      <c r="L223">
        <v>1346</v>
      </c>
      <c r="N223">
        <v>1009</v>
      </c>
      <c r="O223" t="s">
        <v>577</v>
      </c>
      <c r="P223" t="s">
        <v>577</v>
      </c>
      <c r="Q223">
        <v>1</v>
      </c>
      <c r="X223">
        <v>0.02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25</v>
      </c>
      <c r="AG223">
        <v>0.08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ROW(Source!A255)</f>
        <v>255</v>
      </c>
      <c r="B224">
        <v>1471997073</v>
      </c>
      <c r="C224">
        <v>1471751633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563</v>
      </c>
      <c r="J224" t="s">
        <v>3</v>
      </c>
      <c r="K224" t="s">
        <v>564</v>
      </c>
      <c r="L224">
        <v>1191</v>
      </c>
      <c r="N224">
        <v>1013</v>
      </c>
      <c r="O224" t="s">
        <v>565</v>
      </c>
      <c r="P224" t="s">
        <v>565</v>
      </c>
      <c r="Q224">
        <v>1</v>
      </c>
      <c r="X224">
        <v>0.9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25</v>
      </c>
      <c r="AG224">
        <v>3.6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ROW(Source!A256)</f>
        <v>256</v>
      </c>
      <c r="B225">
        <v>1471997093</v>
      </c>
      <c r="C225">
        <v>1471751637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563</v>
      </c>
      <c r="J225" t="s">
        <v>3</v>
      </c>
      <c r="K225" t="s">
        <v>564</v>
      </c>
      <c r="L225">
        <v>1191</v>
      </c>
      <c r="N225">
        <v>1013</v>
      </c>
      <c r="O225" t="s">
        <v>565</v>
      </c>
      <c r="P225" t="s">
        <v>565</v>
      </c>
      <c r="Q225">
        <v>1</v>
      </c>
      <c r="X225">
        <v>2.64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1</v>
      </c>
      <c r="AF225" t="s">
        <v>25</v>
      </c>
      <c r="AG225">
        <v>10.56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ROW(Source!A257)</f>
        <v>257</v>
      </c>
      <c r="B226">
        <v>1471997130</v>
      </c>
      <c r="C226">
        <v>1471751641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563</v>
      </c>
      <c r="J226" t="s">
        <v>3</v>
      </c>
      <c r="K226" t="s">
        <v>564</v>
      </c>
      <c r="L226">
        <v>1191</v>
      </c>
      <c r="N226">
        <v>1013</v>
      </c>
      <c r="O226" t="s">
        <v>565</v>
      </c>
      <c r="P226" t="s">
        <v>565</v>
      </c>
      <c r="Q226">
        <v>1</v>
      </c>
      <c r="X226">
        <v>10.64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3</v>
      </c>
      <c r="AG226">
        <v>10.64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ROW(Source!A257)</f>
        <v>257</v>
      </c>
      <c r="B227">
        <v>1471997131</v>
      </c>
      <c r="C227">
        <v>1471751641</v>
      </c>
      <c r="D227">
        <v>1441833890</v>
      </c>
      <c r="E227">
        <v>1</v>
      </c>
      <c r="F227">
        <v>1</v>
      </c>
      <c r="G227">
        <v>15514512</v>
      </c>
      <c r="H227">
        <v>2</v>
      </c>
      <c r="I227" t="s">
        <v>629</v>
      </c>
      <c r="J227" t="s">
        <v>630</v>
      </c>
      <c r="K227" t="s">
        <v>631</v>
      </c>
      <c r="L227">
        <v>1368</v>
      </c>
      <c r="N227">
        <v>1011</v>
      </c>
      <c r="O227" t="s">
        <v>616</v>
      </c>
      <c r="P227" t="s">
        <v>616</v>
      </c>
      <c r="Q227">
        <v>1</v>
      </c>
      <c r="X227">
        <v>1.5</v>
      </c>
      <c r="Y227">
        <v>0</v>
      </c>
      <c r="Z227">
        <v>33.799999999999997</v>
      </c>
      <c r="AA227">
        <v>0.54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1.5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ROW(Source!A257)</f>
        <v>257</v>
      </c>
      <c r="B228">
        <v>1471997132</v>
      </c>
      <c r="C228">
        <v>1471751641</v>
      </c>
      <c r="D228">
        <v>1441836514</v>
      </c>
      <c r="E228">
        <v>1</v>
      </c>
      <c r="F228">
        <v>1</v>
      </c>
      <c r="G228">
        <v>15514512</v>
      </c>
      <c r="H228">
        <v>3</v>
      </c>
      <c r="I228" t="s">
        <v>570</v>
      </c>
      <c r="J228" t="s">
        <v>571</v>
      </c>
      <c r="K228" t="s">
        <v>572</v>
      </c>
      <c r="L228">
        <v>1339</v>
      </c>
      <c r="N228">
        <v>1007</v>
      </c>
      <c r="O228" t="s">
        <v>573</v>
      </c>
      <c r="P228" t="s">
        <v>573</v>
      </c>
      <c r="Q228">
        <v>1</v>
      </c>
      <c r="X228">
        <v>1</v>
      </c>
      <c r="Y228">
        <v>54.81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1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ROW(Source!A257)</f>
        <v>257</v>
      </c>
      <c r="B229">
        <v>1471997133</v>
      </c>
      <c r="C229">
        <v>1471751641</v>
      </c>
      <c r="D229">
        <v>1441836517</v>
      </c>
      <c r="E229">
        <v>1</v>
      </c>
      <c r="F229">
        <v>1</v>
      </c>
      <c r="G229">
        <v>15514512</v>
      </c>
      <c r="H229">
        <v>3</v>
      </c>
      <c r="I229" t="s">
        <v>632</v>
      </c>
      <c r="J229" t="s">
        <v>633</v>
      </c>
      <c r="K229" t="s">
        <v>634</v>
      </c>
      <c r="L229">
        <v>1346</v>
      </c>
      <c r="N229">
        <v>1009</v>
      </c>
      <c r="O229" t="s">
        <v>577</v>
      </c>
      <c r="P229" t="s">
        <v>577</v>
      </c>
      <c r="Q229">
        <v>1</v>
      </c>
      <c r="X229">
        <v>0.02</v>
      </c>
      <c r="Y229">
        <v>451.28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0.02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ROW(Source!A257)</f>
        <v>257</v>
      </c>
      <c r="B230">
        <v>1471997135</v>
      </c>
      <c r="C230">
        <v>1471751641</v>
      </c>
      <c r="D230">
        <v>1441821379</v>
      </c>
      <c r="E230">
        <v>15514512</v>
      </c>
      <c r="F230">
        <v>1</v>
      </c>
      <c r="G230">
        <v>15514512</v>
      </c>
      <c r="H230">
        <v>3</v>
      </c>
      <c r="I230" t="s">
        <v>635</v>
      </c>
      <c r="J230" t="s">
        <v>3</v>
      </c>
      <c r="K230" t="s">
        <v>636</v>
      </c>
      <c r="L230">
        <v>1346</v>
      </c>
      <c r="N230">
        <v>1009</v>
      </c>
      <c r="O230" t="s">
        <v>577</v>
      </c>
      <c r="P230" t="s">
        <v>577</v>
      </c>
      <c r="Q230">
        <v>1</v>
      </c>
      <c r="X230">
        <v>0.05</v>
      </c>
      <c r="Y230">
        <v>89.933959999999999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0.05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ROW(Source!A257)</f>
        <v>257</v>
      </c>
      <c r="B231">
        <v>1471997134</v>
      </c>
      <c r="C231">
        <v>1471751641</v>
      </c>
      <c r="D231">
        <v>1441834875</v>
      </c>
      <c r="E231">
        <v>1</v>
      </c>
      <c r="F231">
        <v>1</v>
      </c>
      <c r="G231">
        <v>15514512</v>
      </c>
      <c r="H231">
        <v>3</v>
      </c>
      <c r="I231" t="s">
        <v>611</v>
      </c>
      <c r="J231" t="s">
        <v>637</v>
      </c>
      <c r="K231" t="s">
        <v>612</v>
      </c>
      <c r="L231">
        <v>1346</v>
      </c>
      <c r="N231">
        <v>1009</v>
      </c>
      <c r="O231" t="s">
        <v>577</v>
      </c>
      <c r="P231" t="s">
        <v>577</v>
      </c>
      <c r="Q231">
        <v>1</v>
      </c>
      <c r="X231">
        <v>0.02</v>
      </c>
      <c r="Y231">
        <v>94.64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0.02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ROW(Source!A258)</f>
        <v>258</v>
      </c>
      <c r="B232">
        <v>1471997194</v>
      </c>
      <c r="C232">
        <v>1471751648</v>
      </c>
      <c r="D232">
        <v>1441819193</v>
      </c>
      <c r="E232">
        <v>15514512</v>
      </c>
      <c r="F232">
        <v>1</v>
      </c>
      <c r="G232">
        <v>15514512</v>
      </c>
      <c r="H232">
        <v>1</v>
      </c>
      <c r="I232" t="s">
        <v>563</v>
      </c>
      <c r="J232" t="s">
        <v>3</v>
      </c>
      <c r="K232" t="s">
        <v>564</v>
      </c>
      <c r="L232">
        <v>1191</v>
      </c>
      <c r="N232">
        <v>1013</v>
      </c>
      <c r="O232" t="s">
        <v>565</v>
      </c>
      <c r="P232" t="s">
        <v>565</v>
      </c>
      <c r="Q232">
        <v>1</v>
      </c>
      <c r="X232">
        <v>2.42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1</v>
      </c>
      <c r="AF232" t="s">
        <v>3</v>
      </c>
      <c r="AG232">
        <v>2.42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ROW(Source!A258)</f>
        <v>258</v>
      </c>
      <c r="B233">
        <v>1471997195</v>
      </c>
      <c r="C233">
        <v>1471751648</v>
      </c>
      <c r="D233">
        <v>1441833845</v>
      </c>
      <c r="E233">
        <v>1</v>
      </c>
      <c r="F233">
        <v>1</v>
      </c>
      <c r="G233">
        <v>15514512</v>
      </c>
      <c r="H233">
        <v>2</v>
      </c>
      <c r="I233" t="s">
        <v>638</v>
      </c>
      <c r="J233" t="s">
        <v>639</v>
      </c>
      <c r="K233" t="s">
        <v>640</v>
      </c>
      <c r="L233">
        <v>1368</v>
      </c>
      <c r="N233">
        <v>1011</v>
      </c>
      <c r="O233" t="s">
        <v>616</v>
      </c>
      <c r="P233" t="s">
        <v>616</v>
      </c>
      <c r="Q233">
        <v>1</v>
      </c>
      <c r="X233">
        <v>0.61</v>
      </c>
      <c r="Y233">
        <v>0</v>
      </c>
      <c r="Z233">
        <v>17.95</v>
      </c>
      <c r="AA233">
        <v>0.05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0.61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ROW(Source!A258)</f>
        <v>258</v>
      </c>
      <c r="B234">
        <v>1471997196</v>
      </c>
      <c r="C234">
        <v>1471751648</v>
      </c>
      <c r="D234">
        <v>1441836514</v>
      </c>
      <c r="E234">
        <v>1</v>
      </c>
      <c r="F234">
        <v>1</v>
      </c>
      <c r="G234">
        <v>15514512</v>
      </c>
      <c r="H234">
        <v>3</v>
      </c>
      <c r="I234" t="s">
        <v>570</v>
      </c>
      <c r="J234" t="s">
        <v>571</v>
      </c>
      <c r="K234" t="s">
        <v>572</v>
      </c>
      <c r="L234">
        <v>1339</v>
      </c>
      <c r="N234">
        <v>1007</v>
      </c>
      <c r="O234" t="s">
        <v>573</v>
      </c>
      <c r="P234" t="s">
        <v>573</v>
      </c>
      <c r="Q234">
        <v>1</v>
      </c>
      <c r="X234">
        <v>1.03</v>
      </c>
      <c r="Y234">
        <v>54.81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1.03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ROW(Source!A259)</f>
        <v>259</v>
      </c>
      <c r="B235">
        <v>1471997231</v>
      </c>
      <c r="C235">
        <v>1471751658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563</v>
      </c>
      <c r="J235" t="s">
        <v>3</v>
      </c>
      <c r="K235" t="s">
        <v>564</v>
      </c>
      <c r="L235">
        <v>1191</v>
      </c>
      <c r="N235">
        <v>1013</v>
      </c>
      <c r="O235" t="s">
        <v>565</v>
      </c>
      <c r="P235" t="s">
        <v>565</v>
      </c>
      <c r="Q235">
        <v>1</v>
      </c>
      <c r="X235">
        <v>10.64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3</v>
      </c>
      <c r="AG235">
        <v>10.64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ROW(Source!A259)</f>
        <v>259</v>
      </c>
      <c r="B236">
        <v>1471997233</v>
      </c>
      <c r="C236">
        <v>1471751658</v>
      </c>
      <c r="D236">
        <v>1441833890</v>
      </c>
      <c r="E236">
        <v>1</v>
      </c>
      <c r="F236">
        <v>1</v>
      </c>
      <c r="G236">
        <v>15514512</v>
      </c>
      <c r="H236">
        <v>2</v>
      </c>
      <c r="I236" t="s">
        <v>629</v>
      </c>
      <c r="J236" t="s">
        <v>630</v>
      </c>
      <c r="K236" t="s">
        <v>631</v>
      </c>
      <c r="L236">
        <v>1368</v>
      </c>
      <c r="N236">
        <v>1011</v>
      </c>
      <c r="O236" t="s">
        <v>616</v>
      </c>
      <c r="P236" t="s">
        <v>616</v>
      </c>
      <c r="Q236">
        <v>1</v>
      </c>
      <c r="X236">
        <v>1.5</v>
      </c>
      <c r="Y236">
        <v>0</v>
      </c>
      <c r="Z236">
        <v>33.799999999999997</v>
      </c>
      <c r="AA236">
        <v>0.54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1.5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ROW(Source!A259)</f>
        <v>259</v>
      </c>
      <c r="B237">
        <v>1471997234</v>
      </c>
      <c r="C237">
        <v>1471751658</v>
      </c>
      <c r="D237">
        <v>1441836514</v>
      </c>
      <c r="E237">
        <v>1</v>
      </c>
      <c r="F237">
        <v>1</v>
      </c>
      <c r="G237">
        <v>15514512</v>
      </c>
      <c r="H237">
        <v>3</v>
      </c>
      <c r="I237" t="s">
        <v>570</v>
      </c>
      <c r="J237" t="s">
        <v>571</v>
      </c>
      <c r="K237" t="s">
        <v>572</v>
      </c>
      <c r="L237">
        <v>1339</v>
      </c>
      <c r="N237">
        <v>1007</v>
      </c>
      <c r="O237" t="s">
        <v>573</v>
      </c>
      <c r="P237" t="s">
        <v>573</v>
      </c>
      <c r="Q237">
        <v>1</v>
      </c>
      <c r="X237">
        <v>3.8</v>
      </c>
      <c r="Y237">
        <v>54.81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3.8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ROW(Source!A259)</f>
        <v>259</v>
      </c>
      <c r="B238">
        <v>1471997235</v>
      </c>
      <c r="C238">
        <v>1471751658</v>
      </c>
      <c r="D238">
        <v>1441836517</v>
      </c>
      <c r="E238">
        <v>1</v>
      </c>
      <c r="F238">
        <v>1</v>
      </c>
      <c r="G238">
        <v>15514512</v>
      </c>
      <c r="H238">
        <v>3</v>
      </c>
      <c r="I238" t="s">
        <v>632</v>
      </c>
      <c r="J238" t="s">
        <v>633</v>
      </c>
      <c r="K238" t="s">
        <v>634</v>
      </c>
      <c r="L238">
        <v>1346</v>
      </c>
      <c r="N238">
        <v>1009</v>
      </c>
      <c r="O238" t="s">
        <v>577</v>
      </c>
      <c r="P238" t="s">
        <v>577</v>
      </c>
      <c r="Q238">
        <v>1</v>
      </c>
      <c r="X238">
        <v>0.02</v>
      </c>
      <c r="Y238">
        <v>451.28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0.02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ROW(Source!A259)</f>
        <v>259</v>
      </c>
      <c r="B239">
        <v>1471997237</v>
      </c>
      <c r="C239">
        <v>1471751658</v>
      </c>
      <c r="D239">
        <v>1441821379</v>
      </c>
      <c r="E239">
        <v>15514512</v>
      </c>
      <c r="F239">
        <v>1</v>
      </c>
      <c r="G239">
        <v>15514512</v>
      </c>
      <c r="H239">
        <v>3</v>
      </c>
      <c r="I239" t="s">
        <v>635</v>
      </c>
      <c r="J239" t="s">
        <v>3</v>
      </c>
      <c r="K239" t="s">
        <v>636</v>
      </c>
      <c r="L239">
        <v>1346</v>
      </c>
      <c r="N239">
        <v>1009</v>
      </c>
      <c r="O239" t="s">
        <v>577</v>
      </c>
      <c r="P239" t="s">
        <v>577</v>
      </c>
      <c r="Q239">
        <v>1</v>
      </c>
      <c r="X239">
        <v>0.05</v>
      </c>
      <c r="Y239">
        <v>89.933959999999999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0.05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ROW(Source!A259)</f>
        <v>259</v>
      </c>
      <c r="B240">
        <v>1471997236</v>
      </c>
      <c r="C240">
        <v>1471751658</v>
      </c>
      <c r="D240">
        <v>1441834875</v>
      </c>
      <c r="E240">
        <v>1</v>
      </c>
      <c r="F240">
        <v>1</v>
      </c>
      <c r="G240">
        <v>15514512</v>
      </c>
      <c r="H240">
        <v>3</v>
      </c>
      <c r="I240" t="s">
        <v>611</v>
      </c>
      <c r="J240" t="s">
        <v>637</v>
      </c>
      <c r="K240" t="s">
        <v>612</v>
      </c>
      <c r="L240">
        <v>1346</v>
      </c>
      <c r="N240">
        <v>1009</v>
      </c>
      <c r="O240" t="s">
        <v>577</v>
      </c>
      <c r="P240" t="s">
        <v>577</v>
      </c>
      <c r="Q240">
        <v>1</v>
      </c>
      <c r="X240">
        <v>0.02</v>
      </c>
      <c r="Y240">
        <v>94.64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0.02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ROW(Source!A260)</f>
        <v>260</v>
      </c>
      <c r="B241">
        <v>1471997260</v>
      </c>
      <c r="C241">
        <v>1471751665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563</v>
      </c>
      <c r="J241" t="s">
        <v>3</v>
      </c>
      <c r="K241" t="s">
        <v>564</v>
      </c>
      <c r="L241">
        <v>1191</v>
      </c>
      <c r="N241">
        <v>1013</v>
      </c>
      <c r="O241" t="s">
        <v>565</v>
      </c>
      <c r="P241" t="s">
        <v>565</v>
      </c>
      <c r="Q241">
        <v>1</v>
      </c>
      <c r="X241">
        <v>3.44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</v>
      </c>
      <c r="AG241">
        <v>3.44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ROW(Source!A260)</f>
        <v>260</v>
      </c>
      <c r="B242">
        <v>1471997261</v>
      </c>
      <c r="C242">
        <v>1471751665</v>
      </c>
      <c r="D242">
        <v>1441833845</v>
      </c>
      <c r="E242">
        <v>1</v>
      </c>
      <c r="F242">
        <v>1</v>
      </c>
      <c r="G242">
        <v>15514512</v>
      </c>
      <c r="H242">
        <v>2</v>
      </c>
      <c r="I242" t="s">
        <v>638</v>
      </c>
      <c r="J242" t="s">
        <v>639</v>
      </c>
      <c r="K242" t="s">
        <v>640</v>
      </c>
      <c r="L242">
        <v>1368</v>
      </c>
      <c r="N242">
        <v>1011</v>
      </c>
      <c r="O242" t="s">
        <v>616</v>
      </c>
      <c r="P242" t="s">
        <v>616</v>
      </c>
      <c r="Q242">
        <v>1</v>
      </c>
      <c r="X242">
        <v>1.31</v>
      </c>
      <c r="Y242">
        <v>0</v>
      </c>
      <c r="Z242">
        <v>17.95</v>
      </c>
      <c r="AA242">
        <v>0.05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1.31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ROW(Source!A260)</f>
        <v>260</v>
      </c>
      <c r="B243">
        <v>1471997262</v>
      </c>
      <c r="C243">
        <v>1471751665</v>
      </c>
      <c r="D243">
        <v>1441836514</v>
      </c>
      <c r="E243">
        <v>1</v>
      </c>
      <c r="F243">
        <v>1</v>
      </c>
      <c r="G243">
        <v>15514512</v>
      </c>
      <c r="H243">
        <v>3</v>
      </c>
      <c r="I243" t="s">
        <v>570</v>
      </c>
      <c r="J243" t="s">
        <v>571</v>
      </c>
      <c r="K243" t="s">
        <v>572</v>
      </c>
      <c r="L243">
        <v>1339</v>
      </c>
      <c r="N243">
        <v>1007</v>
      </c>
      <c r="O243" t="s">
        <v>573</v>
      </c>
      <c r="P243" t="s">
        <v>573</v>
      </c>
      <c r="Q243">
        <v>1</v>
      </c>
      <c r="X243">
        <v>3.7</v>
      </c>
      <c r="Y243">
        <v>54.81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3.7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ROW(Source!A300)</f>
        <v>300</v>
      </c>
      <c r="B244">
        <v>1471997316</v>
      </c>
      <c r="C244">
        <v>1471751675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563</v>
      </c>
      <c r="J244" t="s">
        <v>3</v>
      </c>
      <c r="K244" t="s">
        <v>564</v>
      </c>
      <c r="L244">
        <v>1191</v>
      </c>
      <c r="N244">
        <v>1013</v>
      </c>
      <c r="O244" t="s">
        <v>565</v>
      </c>
      <c r="P244" t="s">
        <v>565</v>
      </c>
      <c r="Q244">
        <v>1</v>
      </c>
      <c r="X244">
        <v>9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3</v>
      </c>
      <c r="AG244">
        <v>9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ROW(Source!A300)</f>
        <v>300</v>
      </c>
      <c r="B245">
        <v>1471997318</v>
      </c>
      <c r="C245">
        <v>1471751675</v>
      </c>
      <c r="D245">
        <v>1441836237</v>
      </c>
      <c r="E245">
        <v>1</v>
      </c>
      <c r="F245">
        <v>1</v>
      </c>
      <c r="G245">
        <v>15514512</v>
      </c>
      <c r="H245">
        <v>3</v>
      </c>
      <c r="I245" t="s">
        <v>675</v>
      </c>
      <c r="J245" t="s">
        <v>676</v>
      </c>
      <c r="K245" t="s">
        <v>677</v>
      </c>
      <c r="L245">
        <v>1346</v>
      </c>
      <c r="N245">
        <v>1009</v>
      </c>
      <c r="O245" t="s">
        <v>577</v>
      </c>
      <c r="P245" t="s">
        <v>577</v>
      </c>
      <c r="Q245">
        <v>1</v>
      </c>
      <c r="X245">
        <v>0.18</v>
      </c>
      <c r="Y245">
        <v>375.16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0.18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ROW(Source!A300)</f>
        <v>300</v>
      </c>
      <c r="B246">
        <v>1471997319</v>
      </c>
      <c r="C246">
        <v>1471751675</v>
      </c>
      <c r="D246">
        <v>1441836235</v>
      </c>
      <c r="E246">
        <v>1</v>
      </c>
      <c r="F246">
        <v>1</v>
      </c>
      <c r="G246">
        <v>15514512</v>
      </c>
      <c r="H246">
        <v>3</v>
      </c>
      <c r="I246" t="s">
        <v>578</v>
      </c>
      <c r="J246" t="s">
        <v>579</v>
      </c>
      <c r="K246" t="s">
        <v>580</v>
      </c>
      <c r="L246">
        <v>1346</v>
      </c>
      <c r="N246">
        <v>1009</v>
      </c>
      <c r="O246" t="s">
        <v>577</v>
      </c>
      <c r="P246" t="s">
        <v>577</v>
      </c>
      <c r="Q246">
        <v>1</v>
      </c>
      <c r="X246">
        <v>0.05</v>
      </c>
      <c r="Y246">
        <v>31.49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0.05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ROW(Source!A300)</f>
        <v>300</v>
      </c>
      <c r="B247">
        <v>1471997317</v>
      </c>
      <c r="C247">
        <v>1471751675</v>
      </c>
      <c r="D247">
        <v>1441822228</v>
      </c>
      <c r="E247">
        <v>15514512</v>
      </c>
      <c r="F247">
        <v>1</v>
      </c>
      <c r="G247">
        <v>15514512</v>
      </c>
      <c r="H247">
        <v>3</v>
      </c>
      <c r="I247" t="s">
        <v>624</v>
      </c>
      <c r="J247" t="s">
        <v>3</v>
      </c>
      <c r="K247" t="s">
        <v>626</v>
      </c>
      <c r="L247">
        <v>1346</v>
      </c>
      <c r="N247">
        <v>1009</v>
      </c>
      <c r="O247" t="s">
        <v>577</v>
      </c>
      <c r="P247" t="s">
        <v>577</v>
      </c>
      <c r="Q247">
        <v>1</v>
      </c>
      <c r="X247">
        <v>0.05</v>
      </c>
      <c r="Y247">
        <v>73.951729999999998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0.05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ROW(Source!A300)</f>
        <v>300</v>
      </c>
      <c r="B248">
        <v>1471997320</v>
      </c>
      <c r="C248">
        <v>1471751675</v>
      </c>
      <c r="D248">
        <v>1441834920</v>
      </c>
      <c r="E248">
        <v>1</v>
      </c>
      <c r="F248">
        <v>1</v>
      </c>
      <c r="G248">
        <v>15514512</v>
      </c>
      <c r="H248">
        <v>3</v>
      </c>
      <c r="I248" t="s">
        <v>678</v>
      </c>
      <c r="J248" t="s">
        <v>679</v>
      </c>
      <c r="K248" t="s">
        <v>680</v>
      </c>
      <c r="L248">
        <v>1346</v>
      </c>
      <c r="N248">
        <v>1009</v>
      </c>
      <c r="O248" t="s">
        <v>577</v>
      </c>
      <c r="P248" t="s">
        <v>577</v>
      </c>
      <c r="Q248">
        <v>1</v>
      </c>
      <c r="X248">
        <v>0.04</v>
      </c>
      <c r="Y248">
        <v>106.87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0.04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ROW(Source!A301)</f>
        <v>301</v>
      </c>
      <c r="B249">
        <v>1471997362</v>
      </c>
      <c r="C249">
        <v>1471751691</v>
      </c>
      <c r="D249">
        <v>1441819193</v>
      </c>
      <c r="E249">
        <v>15514512</v>
      </c>
      <c r="F249">
        <v>1</v>
      </c>
      <c r="G249">
        <v>15514512</v>
      </c>
      <c r="H249">
        <v>1</v>
      </c>
      <c r="I249" t="s">
        <v>563</v>
      </c>
      <c r="J249" t="s">
        <v>3</v>
      </c>
      <c r="K249" t="s">
        <v>564</v>
      </c>
      <c r="L249">
        <v>1191</v>
      </c>
      <c r="N249">
        <v>1013</v>
      </c>
      <c r="O249" t="s">
        <v>565</v>
      </c>
      <c r="P249" t="s">
        <v>565</v>
      </c>
      <c r="Q249">
        <v>1</v>
      </c>
      <c r="X249">
        <v>0.3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1</v>
      </c>
      <c r="AF249" t="s">
        <v>325</v>
      </c>
      <c r="AG249">
        <v>0.89999999999999991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ROW(Source!A301)</f>
        <v>301</v>
      </c>
      <c r="B250">
        <v>1471997365</v>
      </c>
      <c r="C250">
        <v>1471751691</v>
      </c>
      <c r="D250">
        <v>1441836235</v>
      </c>
      <c r="E250">
        <v>1</v>
      </c>
      <c r="F250">
        <v>1</v>
      </c>
      <c r="G250">
        <v>15514512</v>
      </c>
      <c r="H250">
        <v>3</v>
      </c>
      <c r="I250" t="s">
        <v>578</v>
      </c>
      <c r="J250" t="s">
        <v>579</v>
      </c>
      <c r="K250" t="s">
        <v>580</v>
      </c>
      <c r="L250">
        <v>1346</v>
      </c>
      <c r="N250">
        <v>1009</v>
      </c>
      <c r="O250" t="s">
        <v>577</v>
      </c>
      <c r="P250" t="s">
        <v>577</v>
      </c>
      <c r="Q250">
        <v>1</v>
      </c>
      <c r="X250">
        <v>2E-3</v>
      </c>
      <c r="Y250">
        <v>31.49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325</v>
      </c>
      <c r="AG250">
        <v>6.0000000000000001E-3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ROW(Source!A301)</f>
        <v>301</v>
      </c>
      <c r="B251">
        <v>1471997364</v>
      </c>
      <c r="C251">
        <v>1471751691</v>
      </c>
      <c r="D251">
        <v>1441822228</v>
      </c>
      <c r="E251">
        <v>15514512</v>
      </c>
      <c r="F251">
        <v>1</v>
      </c>
      <c r="G251">
        <v>15514512</v>
      </c>
      <c r="H251">
        <v>3</v>
      </c>
      <c r="I251" t="s">
        <v>624</v>
      </c>
      <c r="J251" t="s">
        <v>3</v>
      </c>
      <c r="K251" t="s">
        <v>626</v>
      </c>
      <c r="L251">
        <v>1346</v>
      </c>
      <c r="N251">
        <v>1009</v>
      </c>
      <c r="O251" t="s">
        <v>577</v>
      </c>
      <c r="P251" t="s">
        <v>577</v>
      </c>
      <c r="Q251">
        <v>1</v>
      </c>
      <c r="X251">
        <v>5.0000000000000001E-3</v>
      </c>
      <c r="Y251">
        <v>73.951729999999998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325</v>
      </c>
      <c r="AG251">
        <v>1.4999999999999999E-2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ROW(Source!A302)</f>
        <v>302</v>
      </c>
      <c r="B252">
        <v>1471997504</v>
      </c>
      <c r="C252">
        <v>1471751701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563</v>
      </c>
      <c r="J252" t="s">
        <v>3</v>
      </c>
      <c r="K252" t="s">
        <v>564</v>
      </c>
      <c r="L252">
        <v>1191</v>
      </c>
      <c r="N252">
        <v>1013</v>
      </c>
      <c r="O252" t="s">
        <v>565</v>
      </c>
      <c r="P252" t="s">
        <v>565</v>
      </c>
      <c r="Q252">
        <v>1</v>
      </c>
      <c r="X252">
        <v>1.63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1.63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ROW(Source!A302)</f>
        <v>302</v>
      </c>
      <c r="B253">
        <v>1471997506</v>
      </c>
      <c r="C253">
        <v>1471751701</v>
      </c>
      <c r="D253">
        <v>1441836187</v>
      </c>
      <c r="E253">
        <v>1</v>
      </c>
      <c r="F253">
        <v>1</v>
      </c>
      <c r="G253">
        <v>15514512</v>
      </c>
      <c r="H253">
        <v>3</v>
      </c>
      <c r="I253" t="s">
        <v>617</v>
      </c>
      <c r="J253" t="s">
        <v>618</v>
      </c>
      <c r="K253" t="s">
        <v>619</v>
      </c>
      <c r="L253">
        <v>1346</v>
      </c>
      <c r="N253">
        <v>1009</v>
      </c>
      <c r="O253" t="s">
        <v>577</v>
      </c>
      <c r="P253" t="s">
        <v>577</v>
      </c>
      <c r="Q253">
        <v>1</v>
      </c>
      <c r="X253">
        <v>1.9599999999999999E-3</v>
      </c>
      <c r="Y253">
        <v>424.66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1.9599999999999999E-3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ROW(Source!A302)</f>
        <v>302</v>
      </c>
      <c r="B254">
        <v>1471997507</v>
      </c>
      <c r="C254">
        <v>1471751701</v>
      </c>
      <c r="D254">
        <v>1441836235</v>
      </c>
      <c r="E254">
        <v>1</v>
      </c>
      <c r="F254">
        <v>1</v>
      </c>
      <c r="G254">
        <v>15514512</v>
      </c>
      <c r="H254">
        <v>3</v>
      </c>
      <c r="I254" t="s">
        <v>578</v>
      </c>
      <c r="J254" t="s">
        <v>579</v>
      </c>
      <c r="K254" t="s">
        <v>580</v>
      </c>
      <c r="L254">
        <v>1346</v>
      </c>
      <c r="N254">
        <v>1009</v>
      </c>
      <c r="O254" t="s">
        <v>577</v>
      </c>
      <c r="P254" t="s">
        <v>577</v>
      </c>
      <c r="Q254">
        <v>1</v>
      </c>
      <c r="X254">
        <v>0.03</v>
      </c>
      <c r="Y254">
        <v>31.49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0.03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ROW(Source!A303)</f>
        <v>303</v>
      </c>
      <c r="B255">
        <v>1471997654</v>
      </c>
      <c r="C255">
        <v>1471751711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563</v>
      </c>
      <c r="J255" t="s">
        <v>3</v>
      </c>
      <c r="K255" t="s">
        <v>564</v>
      </c>
      <c r="L255">
        <v>1191</v>
      </c>
      <c r="N255">
        <v>1013</v>
      </c>
      <c r="O255" t="s">
        <v>565</v>
      </c>
      <c r="P255" t="s">
        <v>565</v>
      </c>
      <c r="Q255">
        <v>1</v>
      </c>
      <c r="X255">
        <v>0.2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332</v>
      </c>
      <c r="AG255">
        <v>3.2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ROW(Source!A303)</f>
        <v>303</v>
      </c>
      <c r="B256">
        <v>1471997657</v>
      </c>
      <c r="C256">
        <v>1471751711</v>
      </c>
      <c r="D256">
        <v>1441836235</v>
      </c>
      <c r="E256">
        <v>1</v>
      </c>
      <c r="F256">
        <v>1</v>
      </c>
      <c r="G256">
        <v>15514512</v>
      </c>
      <c r="H256">
        <v>3</v>
      </c>
      <c r="I256" t="s">
        <v>578</v>
      </c>
      <c r="J256" t="s">
        <v>579</v>
      </c>
      <c r="K256" t="s">
        <v>580</v>
      </c>
      <c r="L256">
        <v>1346</v>
      </c>
      <c r="N256">
        <v>1009</v>
      </c>
      <c r="O256" t="s">
        <v>577</v>
      </c>
      <c r="P256" t="s">
        <v>577</v>
      </c>
      <c r="Q256">
        <v>1</v>
      </c>
      <c r="X256">
        <v>1E-3</v>
      </c>
      <c r="Y256">
        <v>31.49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332</v>
      </c>
      <c r="AG256">
        <v>1.6E-2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ROW(Source!A303)</f>
        <v>303</v>
      </c>
      <c r="B257">
        <v>1471997656</v>
      </c>
      <c r="C257">
        <v>1471751711</v>
      </c>
      <c r="D257">
        <v>1441822196</v>
      </c>
      <c r="E257">
        <v>15514512</v>
      </c>
      <c r="F257">
        <v>1</v>
      </c>
      <c r="G257">
        <v>15514512</v>
      </c>
      <c r="H257">
        <v>3</v>
      </c>
      <c r="I257" t="s">
        <v>602</v>
      </c>
      <c r="J257" t="s">
        <v>3</v>
      </c>
      <c r="K257" t="s">
        <v>604</v>
      </c>
      <c r="L257">
        <v>1346</v>
      </c>
      <c r="N257">
        <v>1009</v>
      </c>
      <c r="O257" t="s">
        <v>577</v>
      </c>
      <c r="P257" t="s">
        <v>577</v>
      </c>
      <c r="Q257">
        <v>1</v>
      </c>
      <c r="X257">
        <v>1E-3</v>
      </c>
      <c r="Y257">
        <v>88.053759999999997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332</v>
      </c>
      <c r="AG257">
        <v>1.6E-2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ROW(Source!A303)</f>
        <v>303</v>
      </c>
      <c r="B258">
        <v>1471997659</v>
      </c>
      <c r="C258">
        <v>1471751711</v>
      </c>
      <c r="D258">
        <v>1441820992</v>
      </c>
      <c r="E258">
        <v>15514512</v>
      </c>
      <c r="F258">
        <v>1</v>
      </c>
      <c r="G258">
        <v>15514512</v>
      </c>
      <c r="H258">
        <v>3</v>
      </c>
      <c r="I258" t="s">
        <v>608</v>
      </c>
      <c r="J258" t="s">
        <v>3</v>
      </c>
      <c r="K258" t="s">
        <v>610</v>
      </c>
      <c r="L258">
        <v>1346</v>
      </c>
      <c r="N258">
        <v>1009</v>
      </c>
      <c r="O258" t="s">
        <v>577</v>
      </c>
      <c r="P258" t="s">
        <v>577</v>
      </c>
      <c r="Q258">
        <v>1</v>
      </c>
      <c r="X258">
        <v>0.01</v>
      </c>
      <c r="Y258">
        <v>78.065730000000002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332</v>
      </c>
      <c r="AG258">
        <v>0.16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ROW(Source!A304)</f>
        <v>304</v>
      </c>
      <c r="B259">
        <v>1471997721</v>
      </c>
      <c r="C259">
        <v>1471751724</v>
      </c>
      <c r="D259">
        <v>1441819193</v>
      </c>
      <c r="E259">
        <v>15514512</v>
      </c>
      <c r="F259">
        <v>1</v>
      </c>
      <c r="G259">
        <v>15514512</v>
      </c>
      <c r="H259">
        <v>1</v>
      </c>
      <c r="I259" t="s">
        <v>563</v>
      </c>
      <c r="J259" t="s">
        <v>3</v>
      </c>
      <c r="K259" t="s">
        <v>564</v>
      </c>
      <c r="L259">
        <v>1191</v>
      </c>
      <c r="N259">
        <v>1013</v>
      </c>
      <c r="O259" t="s">
        <v>565</v>
      </c>
      <c r="P259" t="s">
        <v>565</v>
      </c>
      <c r="Q259">
        <v>1</v>
      </c>
      <c r="X259">
        <v>15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1</v>
      </c>
      <c r="AF259" t="s">
        <v>3</v>
      </c>
      <c r="AG259">
        <v>15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ROW(Source!A304)</f>
        <v>304</v>
      </c>
      <c r="B260">
        <v>1471997723</v>
      </c>
      <c r="C260">
        <v>1471751724</v>
      </c>
      <c r="D260">
        <v>1441836237</v>
      </c>
      <c r="E260">
        <v>1</v>
      </c>
      <c r="F260">
        <v>1</v>
      </c>
      <c r="G260">
        <v>15514512</v>
      </c>
      <c r="H260">
        <v>3</v>
      </c>
      <c r="I260" t="s">
        <v>675</v>
      </c>
      <c r="J260" t="s">
        <v>676</v>
      </c>
      <c r="K260" t="s">
        <v>677</v>
      </c>
      <c r="L260">
        <v>1346</v>
      </c>
      <c r="N260">
        <v>1009</v>
      </c>
      <c r="O260" t="s">
        <v>577</v>
      </c>
      <c r="P260" t="s">
        <v>577</v>
      </c>
      <c r="Q260">
        <v>1</v>
      </c>
      <c r="X260">
        <v>0.3</v>
      </c>
      <c r="Y260">
        <v>375.16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0.3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ROW(Source!A304)</f>
        <v>304</v>
      </c>
      <c r="B261">
        <v>1471997724</v>
      </c>
      <c r="C261">
        <v>1471751724</v>
      </c>
      <c r="D261">
        <v>1441836235</v>
      </c>
      <c r="E261">
        <v>1</v>
      </c>
      <c r="F261">
        <v>1</v>
      </c>
      <c r="G261">
        <v>15514512</v>
      </c>
      <c r="H261">
        <v>3</v>
      </c>
      <c r="I261" t="s">
        <v>578</v>
      </c>
      <c r="J261" t="s">
        <v>579</v>
      </c>
      <c r="K261" t="s">
        <v>580</v>
      </c>
      <c r="L261">
        <v>1346</v>
      </c>
      <c r="N261">
        <v>1009</v>
      </c>
      <c r="O261" t="s">
        <v>577</v>
      </c>
      <c r="P261" t="s">
        <v>577</v>
      </c>
      <c r="Q261">
        <v>1</v>
      </c>
      <c r="X261">
        <v>0.09</v>
      </c>
      <c r="Y261">
        <v>31.49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0.09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ROW(Source!A304)</f>
        <v>304</v>
      </c>
      <c r="B262">
        <v>1471997722</v>
      </c>
      <c r="C262">
        <v>1471751724</v>
      </c>
      <c r="D262">
        <v>1441822228</v>
      </c>
      <c r="E262">
        <v>15514512</v>
      </c>
      <c r="F262">
        <v>1</v>
      </c>
      <c r="G262">
        <v>15514512</v>
      </c>
      <c r="H262">
        <v>3</v>
      </c>
      <c r="I262" t="s">
        <v>624</v>
      </c>
      <c r="J262" t="s">
        <v>3</v>
      </c>
      <c r="K262" t="s">
        <v>626</v>
      </c>
      <c r="L262">
        <v>1346</v>
      </c>
      <c r="N262">
        <v>1009</v>
      </c>
      <c r="O262" t="s">
        <v>577</v>
      </c>
      <c r="P262" t="s">
        <v>577</v>
      </c>
      <c r="Q262">
        <v>1</v>
      </c>
      <c r="X262">
        <v>0.09</v>
      </c>
      <c r="Y262">
        <v>73.951729999999998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0.09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ROW(Source!A304)</f>
        <v>304</v>
      </c>
      <c r="B263">
        <v>1471997725</v>
      </c>
      <c r="C263">
        <v>1471751724</v>
      </c>
      <c r="D263">
        <v>1441834920</v>
      </c>
      <c r="E263">
        <v>1</v>
      </c>
      <c r="F263">
        <v>1</v>
      </c>
      <c r="G263">
        <v>15514512</v>
      </c>
      <c r="H263">
        <v>3</v>
      </c>
      <c r="I263" t="s">
        <v>678</v>
      </c>
      <c r="J263" t="s">
        <v>679</v>
      </c>
      <c r="K263" t="s">
        <v>680</v>
      </c>
      <c r="L263">
        <v>1346</v>
      </c>
      <c r="N263">
        <v>1009</v>
      </c>
      <c r="O263" t="s">
        <v>577</v>
      </c>
      <c r="P263" t="s">
        <v>577</v>
      </c>
      <c r="Q263">
        <v>1</v>
      </c>
      <c r="X263">
        <v>0.06</v>
      </c>
      <c r="Y263">
        <v>106.87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0.06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ROW(Source!A305)</f>
        <v>305</v>
      </c>
      <c r="B264">
        <v>1471997748</v>
      </c>
      <c r="C264">
        <v>1471751741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563</v>
      </c>
      <c r="J264" t="s">
        <v>3</v>
      </c>
      <c r="K264" t="s">
        <v>564</v>
      </c>
      <c r="L264">
        <v>1191</v>
      </c>
      <c r="N264">
        <v>1013</v>
      </c>
      <c r="O264" t="s">
        <v>565</v>
      </c>
      <c r="P264" t="s">
        <v>565</v>
      </c>
      <c r="Q264">
        <v>1</v>
      </c>
      <c r="X264">
        <v>0.5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325</v>
      </c>
      <c r="AG264">
        <v>1.5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ROW(Source!A305)</f>
        <v>305</v>
      </c>
      <c r="B265">
        <v>1471997750</v>
      </c>
      <c r="C265">
        <v>1471751741</v>
      </c>
      <c r="D265">
        <v>1441822228</v>
      </c>
      <c r="E265">
        <v>15514512</v>
      </c>
      <c r="F265">
        <v>1</v>
      </c>
      <c r="G265">
        <v>15514512</v>
      </c>
      <c r="H265">
        <v>3</v>
      </c>
      <c r="I265" t="s">
        <v>624</v>
      </c>
      <c r="J265" t="s">
        <v>3</v>
      </c>
      <c r="K265" t="s">
        <v>626</v>
      </c>
      <c r="L265">
        <v>1346</v>
      </c>
      <c r="N265">
        <v>1009</v>
      </c>
      <c r="O265" t="s">
        <v>577</v>
      </c>
      <c r="P265" t="s">
        <v>577</v>
      </c>
      <c r="Q265">
        <v>1</v>
      </c>
      <c r="X265">
        <v>0.01</v>
      </c>
      <c r="Y265">
        <v>73.951729999999998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325</v>
      </c>
      <c r="AG265">
        <v>0.03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ROW(Source!A306)</f>
        <v>306</v>
      </c>
      <c r="B266">
        <v>1471997811</v>
      </c>
      <c r="C266">
        <v>1471751748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563</v>
      </c>
      <c r="J266" t="s">
        <v>3</v>
      </c>
      <c r="K266" t="s">
        <v>564</v>
      </c>
      <c r="L266">
        <v>1191</v>
      </c>
      <c r="N266">
        <v>1013</v>
      </c>
      <c r="O266" t="s">
        <v>565</v>
      </c>
      <c r="P266" t="s">
        <v>565</v>
      </c>
      <c r="Q266">
        <v>1</v>
      </c>
      <c r="X266">
        <v>24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</v>
      </c>
      <c r="AG266">
        <v>24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ROW(Source!A306)</f>
        <v>306</v>
      </c>
      <c r="B267">
        <v>1471997814</v>
      </c>
      <c r="C267">
        <v>1471751748</v>
      </c>
      <c r="D267">
        <v>1441836237</v>
      </c>
      <c r="E267">
        <v>1</v>
      </c>
      <c r="F267">
        <v>1</v>
      </c>
      <c r="G267">
        <v>15514512</v>
      </c>
      <c r="H267">
        <v>3</v>
      </c>
      <c r="I267" t="s">
        <v>675</v>
      </c>
      <c r="J267" t="s">
        <v>676</v>
      </c>
      <c r="K267" t="s">
        <v>677</v>
      </c>
      <c r="L267">
        <v>1346</v>
      </c>
      <c r="N267">
        <v>1009</v>
      </c>
      <c r="O267" t="s">
        <v>577</v>
      </c>
      <c r="P267" t="s">
        <v>577</v>
      </c>
      <c r="Q267">
        <v>1</v>
      </c>
      <c r="X267">
        <v>0.48</v>
      </c>
      <c r="Y267">
        <v>375.16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0.48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ROW(Source!A306)</f>
        <v>306</v>
      </c>
      <c r="B268">
        <v>1471997816</v>
      </c>
      <c r="C268">
        <v>1471751748</v>
      </c>
      <c r="D268">
        <v>1441836235</v>
      </c>
      <c r="E268">
        <v>1</v>
      </c>
      <c r="F268">
        <v>1</v>
      </c>
      <c r="G268">
        <v>15514512</v>
      </c>
      <c r="H268">
        <v>3</v>
      </c>
      <c r="I268" t="s">
        <v>578</v>
      </c>
      <c r="J268" t="s">
        <v>579</v>
      </c>
      <c r="K268" t="s">
        <v>580</v>
      </c>
      <c r="L268">
        <v>1346</v>
      </c>
      <c r="N268">
        <v>1009</v>
      </c>
      <c r="O268" t="s">
        <v>577</v>
      </c>
      <c r="P268" t="s">
        <v>577</v>
      </c>
      <c r="Q268">
        <v>1</v>
      </c>
      <c r="X268">
        <v>0.14000000000000001</v>
      </c>
      <c r="Y268">
        <v>31.49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0.14000000000000001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ROW(Source!A306)</f>
        <v>306</v>
      </c>
      <c r="B269">
        <v>1471997813</v>
      </c>
      <c r="C269">
        <v>1471751748</v>
      </c>
      <c r="D269">
        <v>1441822228</v>
      </c>
      <c r="E269">
        <v>15514512</v>
      </c>
      <c r="F269">
        <v>1</v>
      </c>
      <c r="G269">
        <v>15514512</v>
      </c>
      <c r="H269">
        <v>3</v>
      </c>
      <c r="I269" t="s">
        <v>624</v>
      </c>
      <c r="J269" t="s">
        <v>3</v>
      </c>
      <c r="K269" t="s">
        <v>626</v>
      </c>
      <c r="L269">
        <v>1346</v>
      </c>
      <c r="N269">
        <v>1009</v>
      </c>
      <c r="O269" t="s">
        <v>577</v>
      </c>
      <c r="P269" t="s">
        <v>577</v>
      </c>
      <c r="Q269">
        <v>1</v>
      </c>
      <c r="X269">
        <v>0.14000000000000001</v>
      </c>
      <c r="Y269">
        <v>73.951729999999998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0.14000000000000001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ROW(Source!A306)</f>
        <v>306</v>
      </c>
      <c r="B270">
        <v>1471997818</v>
      </c>
      <c r="C270">
        <v>1471751748</v>
      </c>
      <c r="D270">
        <v>1441834920</v>
      </c>
      <c r="E270">
        <v>1</v>
      </c>
      <c r="F270">
        <v>1</v>
      </c>
      <c r="G270">
        <v>15514512</v>
      </c>
      <c r="H270">
        <v>3</v>
      </c>
      <c r="I270" t="s">
        <v>678</v>
      </c>
      <c r="J270" t="s">
        <v>679</v>
      </c>
      <c r="K270" t="s">
        <v>680</v>
      </c>
      <c r="L270">
        <v>1346</v>
      </c>
      <c r="N270">
        <v>1009</v>
      </c>
      <c r="O270" t="s">
        <v>577</v>
      </c>
      <c r="P270" t="s">
        <v>577</v>
      </c>
      <c r="Q270">
        <v>1</v>
      </c>
      <c r="X270">
        <v>0.1</v>
      </c>
      <c r="Y270">
        <v>106.87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0.1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ROW(Source!A307)</f>
        <v>307</v>
      </c>
      <c r="B271">
        <v>1471997949</v>
      </c>
      <c r="C271">
        <v>1471751764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563</v>
      </c>
      <c r="J271" t="s">
        <v>3</v>
      </c>
      <c r="K271" t="s">
        <v>564</v>
      </c>
      <c r="L271">
        <v>1191</v>
      </c>
      <c r="N271">
        <v>1013</v>
      </c>
      <c r="O271" t="s">
        <v>565</v>
      </c>
      <c r="P271" t="s">
        <v>565</v>
      </c>
      <c r="Q271">
        <v>1</v>
      </c>
      <c r="X271">
        <v>0.8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325</v>
      </c>
      <c r="AG271">
        <v>2.4000000000000004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ROW(Source!A307)</f>
        <v>307</v>
      </c>
      <c r="B272">
        <v>1471997951</v>
      </c>
      <c r="C272">
        <v>1471751764</v>
      </c>
      <c r="D272">
        <v>1441822228</v>
      </c>
      <c r="E272">
        <v>15514512</v>
      </c>
      <c r="F272">
        <v>1</v>
      </c>
      <c r="G272">
        <v>15514512</v>
      </c>
      <c r="H272">
        <v>3</v>
      </c>
      <c r="I272" t="s">
        <v>624</v>
      </c>
      <c r="J272" t="s">
        <v>3</v>
      </c>
      <c r="K272" t="s">
        <v>626</v>
      </c>
      <c r="L272">
        <v>1346</v>
      </c>
      <c r="N272">
        <v>1009</v>
      </c>
      <c r="O272" t="s">
        <v>577</v>
      </c>
      <c r="P272" t="s">
        <v>577</v>
      </c>
      <c r="Q272">
        <v>1</v>
      </c>
      <c r="X272">
        <v>0.01</v>
      </c>
      <c r="Y272">
        <v>73.951729999999998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325</v>
      </c>
      <c r="AG272">
        <v>0.03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ROW(Source!A308)</f>
        <v>308</v>
      </c>
      <c r="B273">
        <v>1471998143</v>
      </c>
      <c r="C273">
        <v>1471751771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563</v>
      </c>
      <c r="J273" t="s">
        <v>3</v>
      </c>
      <c r="K273" t="s">
        <v>564</v>
      </c>
      <c r="L273">
        <v>1191</v>
      </c>
      <c r="N273">
        <v>1013</v>
      </c>
      <c r="O273" t="s">
        <v>565</v>
      </c>
      <c r="P273" t="s">
        <v>565</v>
      </c>
      <c r="Q273">
        <v>1</v>
      </c>
      <c r="X273">
        <v>0.6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3</v>
      </c>
      <c r="AG273">
        <v>0.6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ROW(Source!A308)</f>
        <v>308</v>
      </c>
      <c r="B274">
        <v>1471998144</v>
      </c>
      <c r="C274">
        <v>1471751771</v>
      </c>
      <c r="D274">
        <v>1441836235</v>
      </c>
      <c r="E274">
        <v>1</v>
      </c>
      <c r="F274">
        <v>1</v>
      </c>
      <c r="G274">
        <v>15514512</v>
      </c>
      <c r="H274">
        <v>3</v>
      </c>
      <c r="I274" t="s">
        <v>578</v>
      </c>
      <c r="J274" t="s">
        <v>579</v>
      </c>
      <c r="K274" t="s">
        <v>580</v>
      </c>
      <c r="L274">
        <v>1346</v>
      </c>
      <c r="N274">
        <v>1009</v>
      </c>
      <c r="O274" t="s">
        <v>577</v>
      </c>
      <c r="P274" t="s">
        <v>577</v>
      </c>
      <c r="Q274">
        <v>1</v>
      </c>
      <c r="X274">
        <v>0.05</v>
      </c>
      <c r="Y274">
        <v>31.49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</v>
      </c>
      <c r="AG274">
        <v>0.05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ROW(Source!A309)</f>
        <v>309</v>
      </c>
      <c r="B275">
        <v>1471998163</v>
      </c>
      <c r="C275">
        <v>1471751778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563</v>
      </c>
      <c r="J275" t="s">
        <v>3</v>
      </c>
      <c r="K275" t="s">
        <v>564</v>
      </c>
      <c r="L275">
        <v>1191</v>
      </c>
      <c r="N275">
        <v>1013</v>
      </c>
      <c r="O275" t="s">
        <v>565</v>
      </c>
      <c r="P275" t="s">
        <v>565</v>
      </c>
      <c r="Q275">
        <v>1</v>
      </c>
      <c r="X275">
        <v>0.14000000000000001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25</v>
      </c>
      <c r="AG275">
        <v>0.56000000000000005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ROW(Source!A310)</f>
        <v>310</v>
      </c>
      <c r="B276">
        <v>1471998193</v>
      </c>
      <c r="C276">
        <v>1471751782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563</v>
      </c>
      <c r="J276" t="s">
        <v>3</v>
      </c>
      <c r="K276" t="s">
        <v>564</v>
      </c>
      <c r="L276">
        <v>1191</v>
      </c>
      <c r="N276">
        <v>1013</v>
      </c>
      <c r="O276" t="s">
        <v>565</v>
      </c>
      <c r="P276" t="s">
        <v>565</v>
      </c>
      <c r="Q276">
        <v>1</v>
      </c>
      <c r="X276">
        <v>0.08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357</v>
      </c>
      <c r="AG276">
        <v>9.44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ROW(Source!A311)</f>
        <v>311</v>
      </c>
      <c r="B277">
        <v>1471998224</v>
      </c>
      <c r="C277">
        <v>1471751786</v>
      </c>
      <c r="D277">
        <v>1441819193</v>
      </c>
      <c r="E277">
        <v>15514512</v>
      </c>
      <c r="F277">
        <v>1</v>
      </c>
      <c r="G277">
        <v>15514512</v>
      </c>
      <c r="H277">
        <v>1</v>
      </c>
      <c r="I277" t="s">
        <v>563</v>
      </c>
      <c r="J277" t="s">
        <v>3</v>
      </c>
      <c r="K277" t="s">
        <v>564</v>
      </c>
      <c r="L277">
        <v>1191</v>
      </c>
      <c r="N277">
        <v>1013</v>
      </c>
      <c r="O277" t="s">
        <v>565</v>
      </c>
      <c r="P277" t="s">
        <v>565</v>
      </c>
      <c r="Q277">
        <v>1</v>
      </c>
      <c r="X277">
        <v>3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1</v>
      </c>
      <c r="AF277" t="s">
        <v>3</v>
      </c>
      <c r="AG277">
        <v>3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ROW(Source!A311)</f>
        <v>311</v>
      </c>
      <c r="B278">
        <v>1471998226</v>
      </c>
      <c r="C278">
        <v>1471751786</v>
      </c>
      <c r="D278">
        <v>1441836237</v>
      </c>
      <c r="E278">
        <v>1</v>
      </c>
      <c r="F278">
        <v>1</v>
      </c>
      <c r="G278">
        <v>15514512</v>
      </c>
      <c r="H278">
        <v>3</v>
      </c>
      <c r="I278" t="s">
        <v>675</v>
      </c>
      <c r="J278" t="s">
        <v>676</v>
      </c>
      <c r="K278" t="s">
        <v>677</v>
      </c>
      <c r="L278">
        <v>1346</v>
      </c>
      <c r="N278">
        <v>1009</v>
      </c>
      <c r="O278" t="s">
        <v>577</v>
      </c>
      <c r="P278" t="s">
        <v>577</v>
      </c>
      <c r="Q278">
        <v>1</v>
      </c>
      <c r="X278">
        <v>0.06</v>
      </c>
      <c r="Y278">
        <v>375.16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0.06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ROW(Source!A311)</f>
        <v>311</v>
      </c>
      <c r="B279">
        <v>1471998227</v>
      </c>
      <c r="C279">
        <v>1471751786</v>
      </c>
      <c r="D279">
        <v>1441836235</v>
      </c>
      <c r="E279">
        <v>1</v>
      </c>
      <c r="F279">
        <v>1</v>
      </c>
      <c r="G279">
        <v>15514512</v>
      </c>
      <c r="H279">
        <v>3</v>
      </c>
      <c r="I279" t="s">
        <v>578</v>
      </c>
      <c r="J279" t="s">
        <v>579</v>
      </c>
      <c r="K279" t="s">
        <v>580</v>
      </c>
      <c r="L279">
        <v>1346</v>
      </c>
      <c r="N279">
        <v>1009</v>
      </c>
      <c r="O279" t="s">
        <v>577</v>
      </c>
      <c r="P279" t="s">
        <v>577</v>
      </c>
      <c r="Q279">
        <v>1</v>
      </c>
      <c r="X279">
        <v>0.02</v>
      </c>
      <c r="Y279">
        <v>31.49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0.02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ROW(Source!A311)</f>
        <v>311</v>
      </c>
      <c r="B280">
        <v>1471998225</v>
      </c>
      <c r="C280">
        <v>1471751786</v>
      </c>
      <c r="D280">
        <v>1441822228</v>
      </c>
      <c r="E280">
        <v>15514512</v>
      </c>
      <c r="F280">
        <v>1</v>
      </c>
      <c r="G280">
        <v>15514512</v>
      </c>
      <c r="H280">
        <v>3</v>
      </c>
      <c r="I280" t="s">
        <v>624</v>
      </c>
      <c r="J280" t="s">
        <v>3</v>
      </c>
      <c r="K280" t="s">
        <v>626</v>
      </c>
      <c r="L280">
        <v>1346</v>
      </c>
      <c r="N280">
        <v>1009</v>
      </c>
      <c r="O280" t="s">
        <v>577</v>
      </c>
      <c r="P280" t="s">
        <v>577</v>
      </c>
      <c r="Q280">
        <v>1</v>
      </c>
      <c r="X280">
        <v>0.02</v>
      </c>
      <c r="Y280">
        <v>73.951729999999998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0.02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ROW(Source!A311)</f>
        <v>311</v>
      </c>
      <c r="B281">
        <v>1471998228</v>
      </c>
      <c r="C281">
        <v>1471751786</v>
      </c>
      <c r="D281">
        <v>1441834920</v>
      </c>
      <c r="E281">
        <v>1</v>
      </c>
      <c r="F281">
        <v>1</v>
      </c>
      <c r="G281">
        <v>15514512</v>
      </c>
      <c r="H281">
        <v>3</v>
      </c>
      <c r="I281" t="s">
        <v>678</v>
      </c>
      <c r="J281" t="s">
        <v>679</v>
      </c>
      <c r="K281" t="s">
        <v>680</v>
      </c>
      <c r="L281">
        <v>1346</v>
      </c>
      <c r="N281">
        <v>1009</v>
      </c>
      <c r="O281" t="s">
        <v>577</v>
      </c>
      <c r="P281" t="s">
        <v>577</v>
      </c>
      <c r="Q281">
        <v>1</v>
      </c>
      <c r="X281">
        <v>0.01</v>
      </c>
      <c r="Y281">
        <v>106.87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0.01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ROW(Source!A312)</f>
        <v>312</v>
      </c>
      <c r="B282">
        <v>1471998275</v>
      </c>
      <c r="C282">
        <v>1471751802</v>
      </c>
      <c r="D282">
        <v>1441819193</v>
      </c>
      <c r="E282">
        <v>15514512</v>
      </c>
      <c r="F282">
        <v>1</v>
      </c>
      <c r="G282">
        <v>15514512</v>
      </c>
      <c r="H282">
        <v>1</v>
      </c>
      <c r="I282" t="s">
        <v>563</v>
      </c>
      <c r="J282" t="s">
        <v>3</v>
      </c>
      <c r="K282" t="s">
        <v>564</v>
      </c>
      <c r="L282">
        <v>1191</v>
      </c>
      <c r="N282">
        <v>1013</v>
      </c>
      <c r="O282" t="s">
        <v>565</v>
      </c>
      <c r="P282" t="s">
        <v>565</v>
      </c>
      <c r="Q282">
        <v>1</v>
      </c>
      <c r="X282">
        <v>0.1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1</v>
      </c>
      <c r="AF282" t="s">
        <v>332</v>
      </c>
      <c r="AG282">
        <v>1.6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ROW(Source!A312)</f>
        <v>312</v>
      </c>
      <c r="B283">
        <v>1471998277</v>
      </c>
      <c r="C283">
        <v>1471751802</v>
      </c>
      <c r="D283">
        <v>1441836235</v>
      </c>
      <c r="E283">
        <v>1</v>
      </c>
      <c r="F283">
        <v>1</v>
      </c>
      <c r="G283">
        <v>15514512</v>
      </c>
      <c r="H283">
        <v>3</v>
      </c>
      <c r="I283" t="s">
        <v>578</v>
      </c>
      <c r="J283" t="s">
        <v>579</v>
      </c>
      <c r="K283" t="s">
        <v>580</v>
      </c>
      <c r="L283">
        <v>1346</v>
      </c>
      <c r="N283">
        <v>1009</v>
      </c>
      <c r="O283" t="s">
        <v>577</v>
      </c>
      <c r="P283" t="s">
        <v>577</v>
      </c>
      <c r="Q283">
        <v>1</v>
      </c>
      <c r="X283">
        <v>1E-3</v>
      </c>
      <c r="Y283">
        <v>31.49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332</v>
      </c>
      <c r="AG283">
        <v>1.6E-2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ROW(Source!A312)</f>
        <v>312</v>
      </c>
      <c r="B284">
        <v>1471998276</v>
      </c>
      <c r="C284">
        <v>1471751802</v>
      </c>
      <c r="D284">
        <v>1441822228</v>
      </c>
      <c r="E284">
        <v>15514512</v>
      </c>
      <c r="F284">
        <v>1</v>
      </c>
      <c r="G284">
        <v>15514512</v>
      </c>
      <c r="H284">
        <v>3</v>
      </c>
      <c r="I284" t="s">
        <v>624</v>
      </c>
      <c r="J284" t="s">
        <v>3</v>
      </c>
      <c r="K284" t="s">
        <v>626</v>
      </c>
      <c r="L284">
        <v>1346</v>
      </c>
      <c r="N284">
        <v>1009</v>
      </c>
      <c r="O284" t="s">
        <v>577</v>
      </c>
      <c r="P284" t="s">
        <v>577</v>
      </c>
      <c r="Q284">
        <v>1</v>
      </c>
      <c r="X284">
        <v>2E-3</v>
      </c>
      <c r="Y284">
        <v>73.951729999999998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332</v>
      </c>
      <c r="AG284">
        <v>3.2000000000000001E-2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ROW(Source!A313)</f>
        <v>313</v>
      </c>
      <c r="B285">
        <v>1471998285</v>
      </c>
      <c r="C285">
        <v>1471751812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563</v>
      </c>
      <c r="J285" t="s">
        <v>3</v>
      </c>
      <c r="K285" t="s">
        <v>564</v>
      </c>
      <c r="L285">
        <v>1191</v>
      </c>
      <c r="N285">
        <v>1013</v>
      </c>
      <c r="O285" t="s">
        <v>565</v>
      </c>
      <c r="P285" t="s">
        <v>565</v>
      </c>
      <c r="Q285">
        <v>1</v>
      </c>
      <c r="X285">
        <v>1.06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117</v>
      </c>
      <c r="AG285">
        <v>2.12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ROW(Source!A314)</f>
        <v>314</v>
      </c>
      <c r="B286">
        <v>1471998315</v>
      </c>
      <c r="C286">
        <v>1471751816</v>
      </c>
      <c r="D286">
        <v>1441819193</v>
      </c>
      <c r="E286">
        <v>15514512</v>
      </c>
      <c r="F286">
        <v>1</v>
      </c>
      <c r="G286">
        <v>15514512</v>
      </c>
      <c r="H286">
        <v>1</v>
      </c>
      <c r="I286" t="s">
        <v>563</v>
      </c>
      <c r="J286" t="s">
        <v>3</v>
      </c>
      <c r="K286" t="s">
        <v>564</v>
      </c>
      <c r="L286">
        <v>1191</v>
      </c>
      <c r="N286">
        <v>1013</v>
      </c>
      <c r="O286" t="s">
        <v>565</v>
      </c>
      <c r="P286" t="s">
        <v>565</v>
      </c>
      <c r="Q286">
        <v>1</v>
      </c>
      <c r="X286">
        <v>0.3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1</v>
      </c>
      <c r="AF286" t="s">
        <v>3</v>
      </c>
      <c r="AG286">
        <v>0.3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ROW(Source!A315)</f>
        <v>315</v>
      </c>
      <c r="B287">
        <v>1471998337</v>
      </c>
      <c r="C287">
        <v>1471751820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563</v>
      </c>
      <c r="J287" t="s">
        <v>3</v>
      </c>
      <c r="K287" t="s">
        <v>564</v>
      </c>
      <c r="L287">
        <v>1191</v>
      </c>
      <c r="N287">
        <v>1013</v>
      </c>
      <c r="O287" t="s">
        <v>565</v>
      </c>
      <c r="P287" t="s">
        <v>565</v>
      </c>
      <c r="Q287">
        <v>1</v>
      </c>
      <c r="X287">
        <v>0.01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325</v>
      </c>
      <c r="AG287">
        <v>0.03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ROW(Source!A316)</f>
        <v>316</v>
      </c>
      <c r="B288">
        <v>1471998358</v>
      </c>
      <c r="C288">
        <v>1471751824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563</v>
      </c>
      <c r="J288" t="s">
        <v>3</v>
      </c>
      <c r="K288" t="s">
        <v>564</v>
      </c>
      <c r="L288">
        <v>1191</v>
      </c>
      <c r="N288">
        <v>1013</v>
      </c>
      <c r="O288" t="s">
        <v>565</v>
      </c>
      <c r="P288" t="s">
        <v>565</v>
      </c>
      <c r="Q288">
        <v>1</v>
      </c>
      <c r="X288">
        <v>0.4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3</v>
      </c>
      <c r="AG288">
        <v>0.4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ROW(Source!A316)</f>
        <v>316</v>
      </c>
      <c r="B289">
        <v>1471998359</v>
      </c>
      <c r="C289">
        <v>1471751824</v>
      </c>
      <c r="D289">
        <v>1441836235</v>
      </c>
      <c r="E289">
        <v>1</v>
      </c>
      <c r="F289">
        <v>1</v>
      </c>
      <c r="G289">
        <v>15514512</v>
      </c>
      <c r="H289">
        <v>3</v>
      </c>
      <c r="I289" t="s">
        <v>578</v>
      </c>
      <c r="J289" t="s">
        <v>579</v>
      </c>
      <c r="K289" t="s">
        <v>580</v>
      </c>
      <c r="L289">
        <v>1346</v>
      </c>
      <c r="N289">
        <v>1009</v>
      </c>
      <c r="O289" t="s">
        <v>577</v>
      </c>
      <c r="P289" t="s">
        <v>577</v>
      </c>
      <c r="Q289">
        <v>1</v>
      </c>
      <c r="X289">
        <v>0.02</v>
      </c>
      <c r="Y289">
        <v>31.49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</v>
      </c>
      <c r="AG289">
        <v>0.02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ROW(Source!A316)</f>
        <v>316</v>
      </c>
      <c r="B290">
        <v>1471998360</v>
      </c>
      <c r="C290">
        <v>1471751824</v>
      </c>
      <c r="D290">
        <v>1441838749</v>
      </c>
      <c r="E290">
        <v>1</v>
      </c>
      <c r="F290">
        <v>1</v>
      </c>
      <c r="G290">
        <v>15514512</v>
      </c>
      <c r="H290">
        <v>3</v>
      </c>
      <c r="I290" t="s">
        <v>681</v>
      </c>
      <c r="J290" t="s">
        <v>682</v>
      </c>
      <c r="K290" t="s">
        <v>683</v>
      </c>
      <c r="L290">
        <v>1327</v>
      </c>
      <c r="N290">
        <v>1005</v>
      </c>
      <c r="O290" t="s">
        <v>659</v>
      </c>
      <c r="P290" t="s">
        <v>659</v>
      </c>
      <c r="Q290">
        <v>1</v>
      </c>
      <c r="X290">
        <v>0.03</v>
      </c>
      <c r="Y290">
        <v>509.19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</v>
      </c>
      <c r="AG290">
        <v>0.03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ROW(Source!A316)</f>
        <v>316</v>
      </c>
      <c r="B291">
        <v>1471998361</v>
      </c>
      <c r="C291">
        <v>1471751824</v>
      </c>
      <c r="D291">
        <v>1441834659</v>
      </c>
      <c r="E291">
        <v>1</v>
      </c>
      <c r="F291">
        <v>1</v>
      </c>
      <c r="G291">
        <v>15514512</v>
      </c>
      <c r="H291">
        <v>3</v>
      </c>
      <c r="I291" t="s">
        <v>684</v>
      </c>
      <c r="J291" t="s">
        <v>685</v>
      </c>
      <c r="K291" t="s">
        <v>686</v>
      </c>
      <c r="L291">
        <v>1348</v>
      </c>
      <c r="N291">
        <v>1009</v>
      </c>
      <c r="O291" t="s">
        <v>569</v>
      </c>
      <c r="P291" t="s">
        <v>569</v>
      </c>
      <c r="Q291">
        <v>1000</v>
      </c>
      <c r="X291">
        <v>3.0000000000000001E-5</v>
      </c>
      <c r="Y291">
        <v>113415.03999999999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</v>
      </c>
      <c r="AG291">
        <v>3.0000000000000001E-5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ROW(Source!A317)</f>
        <v>317</v>
      </c>
      <c r="B292">
        <v>1471998401</v>
      </c>
      <c r="C292">
        <v>1471751837</v>
      </c>
      <c r="D292">
        <v>1441819193</v>
      </c>
      <c r="E292">
        <v>15514512</v>
      </c>
      <c r="F292">
        <v>1</v>
      </c>
      <c r="G292">
        <v>15514512</v>
      </c>
      <c r="H292">
        <v>1</v>
      </c>
      <c r="I292" t="s">
        <v>563</v>
      </c>
      <c r="J292" t="s">
        <v>3</v>
      </c>
      <c r="K292" t="s">
        <v>564</v>
      </c>
      <c r="L292">
        <v>1191</v>
      </c>
      <c r="N292">
        <v>1013</v>
      </c>
      <c r="O292" t="s">
        <v>565</v>
      </c>
      <c r="P292" t="s">
        <v>565</v>
      </c>
      <c r="Q292">
        <v>1</v>
      </c>
      <c r="X292">
        <v>2.4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1</v>
      </c>
      <c r="AF292" t="s">
        <v>3</v>
      </c>
      <c r="AG292">
        <v>2.4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ROW(Source!A317)</f>
        <v>317</v>
      </c>
      <c r="B293">
        <v>1471998403</v>
      </c>
      <c r="C293">
        <v>1471751837</v>
      </c>
      <c r="D293">
        <v>1441836235</v>
      </c>
      <c r="E293">
        <v>1</v>
      </c>
      <c r="F293">
        <v>1</v>
      </c>
      <c r="G293">
        <v>15514512</v>
      </c>
      <c r="H293">
        <v>3</v>
      </c>
      <c r="I293" t="s">
        <v>578</v>
      </c>
      <c r="J293" t="s">
        <v>579</v>
      </c>
      <c r="K293" t="s">
        <v>580</v>
      </c>
      <c r="L293">
        <v>1346</v>
      </c>
      <c r="N293">
        <v>1009</v>
      </c>
      <c r="O293" t="s">
        <v>577</v>
      </c>
      <c r="P293" t="s">
        <v>577</v>
      </c>
      <c r="Q293">
        <v>1</v>
      </c>
      <c r="X293">
        <v>0.5</v>
      </c>
      <c r="Y293">
        <v>31.49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0.5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ROW(Source!A317)</f>
        <v>317</v>
      </c>
      <c r="B294">
        <v>1471998404</v>
      </c>
      <c r="C294">
        <v>1471751837</v>
      </c>
      <c r="D294">
        <v>1441834658</v>
      </c>
      <c r="E294">
        <v>1</v>
      </c>
      <c r="F294">
        <v>1</v>
      </c>
      <c r="G294">
        <v>15514512</v>
      </c>
      <c r="H294">
        <v>3</v>
      </c>
      <c r="I294" t="s">
        <v>687</v>
      </c>
      <c r="J294" t="s">
        <v>688</v>
      </c>
      <c r="K294" t="s">
        <v>689</v>
      </c>
      <c r="L294">
        <v>1348</v>
      </c>
      <c r="N294">
        <v>1009</v>
      </c>
      <c r="O294" t="s">
        <v>569</v>
      </c>
      <c r="P294" t="s">
        <v>569</v>
      </c>
      <c r="Q294">
        <v>1000</v>
      </c>
      <c r="X294">
        <v>3.4000000000000002E-4</v>
      </c>
      <c r="Y294">
        <v>190945.35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3.4000000000000002E-4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ROW(Source!A353)</f>
        <v>353</v>
      </c>
      <c r="B295">
        <v>1471998426</v>
      </c>
      <c r="C295">
        <v>1471751847</v>
      </c>
      <c r="D295">
        <v>1441819193</v>
      </c>
      <c r="E295">
        <v>15514512</v>
      </c>
      <c r="F295">
        <v>1</v>
      </c>
      <c r="G295">
        <v>15514512</v>
      </c>
      <c r="H295">
        <v>1</v>
      </c>
      <c r="I295" t="s">
        <v>563</v>
      </c>
      <c r="J295" t="s">
        <v>3</v>
      </c>
      <c r="K295" t="s">
        <v>564</v>
      </c>
      <c r="L295">
        <v>1191</v>
      </c>
      <c r="N295">
        <v>1013</v>
      </c>
      <c r="O295" t="s">
        <v>565</v>
      </c>
      <c r="P295" t="s">
        <v>565</v>
      </c>
      <c r="Q295">
        <v>1</v>
      </c>
      <c r="X295">
        <v>11.1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1</v>
      </c>
      <c r="AF295" t="s">
        <v>3</v>
      </c>
      <c r="AG295">
        <v>11.1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ROW(Source!A353)</f>
        <v>353</v>
      </c>
      <c r="B296">
        <v>1471998427</v>
      </c>
      <c r="C296">
        <v>1471751847</v>
      </c>
      <c r="D296">
        <v>1441836237</v>
      </c>
      <c r="E296">
        <v>1</v>
      </c>
      <c r="F296">
        <v>1</v>
      </c>
      <c r="G296">
        <v>15514512</v>
      </c>
      <c r="H296">
        <v>3</v>
      </c>
      <c r="I296" t="s">
        <v>675</v>
      </c>
      <c r="J296" t="s">
        <v>676</v>
      </c>
      <c r="K296" t="s">
        <v>677</v>
      </c>
      <c r="L296">
        <v>1346</v>
      </c>
      <c r="N296">
        <v>1009</v>
      </c>
      <c r="O296" t="s">
        <v>577</v>
      </c>
      <c r="P296" t="s">
        <v>577</v>
      </c>
      <c r="Q296">
        <v>1</v>
      </c>
      <c r="X296">
        <v>0.06</v>
      </c>
      <c r="Y296">
        <v>375.16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0.06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ROW(Source!A354)</f>
        <v>354</v>
      </c>
      <c r="B297">
        <v>1471998443</v>
      </c>
      <c r="C297">
        <v>1471751854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563</v>
      </c>
      <c r="J297" t="s">
        <v>3</v>
      </c>
      <c r="K297" t="s">
        <v>564</v>
      </c>
      <c r="L297">
        <v>1191</v>
      </c>
      <c r="N297">
        <v>1013</v>
      </c>
      <c r="O297" t="s">
        <v>565</v>
      </c>
      <c r="P297" t="s">
        <v>565</v>
      </c>
      <c r="Q297">
        <v>1</v>
      </c>
      <c r="X297">
        <v>0.38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3</v>
      </c>
      <c r="AG297">
        <v>0.38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ROW(Source!A390)</f>
        <v>390</v>
      </c>
      <c r="B298">
        <v>1471998458</v>
      </c>
      <c r="C298">
        <v>1471751858</v>
      </c>
      <c r="D298">
        <v>1441819193</v>
      </c>
      <c r="E298">
        <v>15514512</v>
      </c>
      <c r="F298">
        <v>1</v>
      </c>
      <c r="G298">
        <v>15514512</v>
      </c>
      <c r="H298">
        <v>1</v>
      </c>
      <c r="I298" t="s">
        <v>563</v>
      </c>
      <c r="J298" t="s">
        <v>3</v>
      </c>
      <c r="K298" t="s">
        <v>564</v>
      </c>
      <c r="L298">
        <v>1191</v>
      </c>
      <c r="N298">
        <v>1013</v>
      </c>
      <c r="O298" t="s">
        <v>565</v>
      </c>
      <c r="P298" t="s">
        <v>565</v>
      </c>
      <c r="Q298">
        <v>1</v>
      </c>
      <c r="X298">
        <v>0.3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1</v>
      </c>
      <c r="AF298" t="s">
        <v>393</v>
      </c>
      <c r="AG298">
        <v>0.312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ROW(Source!A390)</f>
        <v>390</v>
      </c>
      <c r="B299">
        <v>1471998459</v>
      </c>
      <c r="C299">
        <v>1471751858</v>
      </c>
      <c r="D299">
        <v>1441836235</v>
      </c>
      <c r="E299">
        <v>1</v>
      </c>
      <c r="F299">
        <v>1</v>
      </c>
      <c r="G299">
        <v>15514512</v>
      </c>
      <c r="H299">
        <v>3</v>
      </c>
      <c r="I299" t="s">
        <v>578</v>
      </c>
      <c r="J299" t="s">
        <v>579</v>
      </c>
      <c r="K299" t="s">
        <v>580</v>
      </c>
      <c r="L299">
        <v>1346</v>
      </c>
      <c r="N299">
        <v>1009</v>
      </c>
      <c r="O299" t="s">
        <v>577</v>
      </c>
      <c r="P299" t="s">
        <v>577</v>
      </c>
      <c r="Q299">
        <v>1</v>
      </c>
      <c r="X299">
        <v>0.02</v>
      </c>
      <c r="Y299">
        <v>31.49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0.02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ROW(Source!A391)</f>
        <v>391</v>
      </c>
      <c r="B300">
        <v>1471998474</v>
      </c>
      <c r="C300">
        <v>1471751866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563</v>
      </c>
      <c r="J300" t="s">
        <v>3</v>
      </c>
      <c r="K300" t="s">
        <v>564</v>
      </c>
      <c r="L300">
        <v>1191</v>
      </c>
      <c r="N300">
        <v>1013</v>
      </c>
      <c r="O300" t="s">
        <v>565</v>
      </c>
      <c r="P300" t="s">
        <v>565</v>
      </c>
      <c r="Q300">
        <v>1</v>
      </c>
      <c r="X300">
        <v>0.48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3</v>
      </c>
      <c r="AG300">
        <v>0.48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ROW(Source!A391)</f>
        <v>391</v>
      </c>
      <c r="B301">
        <v>1471998475</v>
      </c>
      <c r="C301">
        <v>1471751866</v>
      </c>
      <c r="D301">
        <v>1441836235</v>
      </c>
      <c r="E301">
        <v>1</v>
      </c>
      <c r="F301">
        <v>1</v>
      </c>
      <c r="G301">
        <v>15514512</v>
      </c>
      <c r="H301">
        <v>3</v>
      </c>
      <c r="I301" t="s">
        <v>578</v>
      </c>
      <c r="J301" t="s">
        <v>579</v>
      </c>
      <c r="K301" t="s">
        <v>580</v>
      </c>
      <c r="L301">
        <v>1346</v>
      </c>
      <c r="N301">
        <v>1009</v>
      </c>
      <c r="O301" t="s">
        <v>577</v>
      </c>
      <c r="P301" t="s">
        <v>577</v>
      </c>
      <c r="Q301">
        <v>1</v>
      </c>
      <c r="X301">
        <v>0.05</v>
      </c>
      <c r="Y301">
        <v>31.49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0.05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ROW(Source!A392)</f>
        <v>392</v>
      </c>
      <c r="B302">
        <v>1471998501</v>
      </c>
      <c r="C302">
        <v>1471751873</v>
      </c>
      <c r="D302">
        <v>1441819193</v>
      </c>
      <c r="E302">
        <v>15514512</v>
      </c>
      <c r="F302">
        <v>1</v>
      </c>
      <c r="G302">
        <v>15514512</v>
      </c>
      <c r="H302">
        <v>1</v>
      </c>
      <c r="I302" t="s">
        <v>563</v>
      </c>
      <c r="J302" t="s">
        <v>3</v>
      </c>
      <c r="K302" t="s">
        <v>564</v>
      </c>
      <c r="L302">
        <v>1191</v>
      </c>
      <c r="N302">
        <v>1013</v>
      </c>
      <c r="O302" t="s">
        <v>565</v>
      </c>
      <c r="P302" t="s">
        <v>565</v>
      </c>
      <c r="Q302">
        <v>1</v>
      </c>
      <c r="X302">
        <v>0.2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404</v>
      </c>
      <c r="AG302">
        <v>0.13999999999999999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ROW(Source!A392)</f>
        <v>392</v>
      </c>
      <c r="B303">
        <v>1471998502</v>
      </c>
      <c r="C303">
        <v>1471751873</v>
      </c>
      <c r="D303">
        <v>1441836187</v>
      </c>
      <c r="E303">
        <v>1</v>
      </c>
      <c r="F303">
        <v>1</v>
      </c>
      <c r="G303">
        <v>15514512</v>
      </c>
      <c r="H303">
        <v>3</v>
      </c>
      <c r="I303" t="s">
        <v>617</v>
      </c>
      <c r="J303" t="s">
        <v>618</v>
      </c>
      <c r="K303" t="s">
        <v>619</v>
      </c>
      <c r="L303">
        <v>1346</v>
      </c>
      <c r="N303">
        <v>1009</v>
      </c>
      <c r="O303" t="s">
        <v>577</v>
      </c>
      <c r="P303" t="s">
        <v>577</v>
      </c>
      <c r="Q303">
        <v>1</v>
      </c>
      <c r="X303">
        <v>0.01</v>
      </c>
      <c r="Y303">
        <v>424.66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403</v>
      </c>
      <c r="AG303">
        <v>0.01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ROW(Source!A392)</f>
        <v>392</v>
      </c>
      <c r="B304">
        <v>1471998503</v>
      </c>
      <c r="C304">
        <v>1471751873</v>
      </c>
      <c r="D304">
        <v>1441836230</v>
      </c>
      <c r="E304">
        <v>1</v>
      </c>
      <c r="F304">
        <v>1</v>
      </c>
      <c r="G304">
        <v>15514512</v>
      </c>
      <c r="H304">
        <v>3</v>
      </c>
      <c r="I304" t="s">
        <v>690</v>
      </c>
      <c r="J304" t="s">
        <v>691</v>
      </c>
      <c r="K304" t="s">
        <v>692</v>
      </c>
      <c r="L304">
        <v>1327</v>
      </c>
      <c r="N304">
        <v>1005</v>
      </c>
      <c r="O304" t="s">
        <v>659</v>
      </c>
      <c r="P304" t="s">
        <v>659</v>
      </c>
      <c r="Q304">
        <v>1</v>
      </c>
      <c r="X304">
        <v>0.02</v>
      </c>
      <c r="Y304">
        <v>46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403</v>
      </c>
      <c r="AG304">
        <v>0.02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ROW(Source!A393)</f>
        <v>393</v>
      </c>
      <c r="B305">
        <v>1471998519</v>
      </c>
      <c r="C305">
        <v>1471751883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563</v>
      </c>
      <c r="J305" t="s">
        <v>3</v>
      </c>
      <c r="K305" t="s">
        <v>564</v>
      </c>
      <c r="L305">
        <v>1191</v>
      </c>
      <c r="N305">
        <v>1013</v>
      </c>
      <c r="O305" t="s">
        <v>565</v>
      </c>
      <c r="P305" t="s">
        <v>565</v>
      </c>
      <c r="Q305">
        <v>1</v>
      </c>
      <c r="X305">
        <v>0.12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410</v>
      </c>
      <c r="AG305">
        <v>0.27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ROW(Source!A393)</f>
        <v>393</v>
      </c>
      <c r="B306">
        <v>1471998520</v>
      </c>
      <c r="C306">
        <v>1471751883</v>
      </c>
      <c r="D306">
        <v>1441834258</v>
      </c>
      <c r="E306">
        <v>1</v>
      </c>
      <c r="F306">
        <v>1</v>
      </c>
      <c r="G306">
        <v>15514512</v>
      </c>
      <c r="H306">
        <v>2</v>
      </c>
      <c r="I306" t="s">
        <v>613</v>
      </c>
      <c r="J306" t="s">
        <v>614</v>
      </c>
      <c r="K306" t="s">
        <v>615</v>
      </c>
      <c r="L306">
        <v>1368</v>
      </c>
      <c r="N306">
        <v>1011</v>
      </c>
      <c r="O306" t="s">
        <v>616</v>
      </c>
      <c r="P306" t="s">
        <v>616</v>
      </c>
      <c r="Q306">
        <v>1</v>
      </c>
      <c r="X306">
        <v>0.01</v>
      </c>
      <c r="Y306">
        <v>0</v>
      </c>
      <c r="Z306">
        <v>1303.01</v>
      </c>
      <c r="AA306">
        <v>826.2</v>
      </c>
      <c r="AB306">
        <v>0</v>
      </c>
      <c r="AC306">
        <v>0</v>
      </c>
      <c r="AD306">
        <v>1</v>
      </c>
      <c r="AE306">
        <v>0</v>
      </c>
      <c r="AF306" t="s">
        <v>410</v>
      </c>
      <c r="AG306">
        <v>2.2499999999999999E-2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ROW(Source!A393)</f>
        <v>393</v>
      </c>
      <c r="B307">
        <v>1471998521</v>
      </c>
      <c r="C307">
        <v>1471751883</v>
      </c>
      <c r="D307">
        <v>1441836186</v>
      </c>
      <c r="E307">
        <v>1</v>
      </c>
      <c r="F307">
        <v>1</v>
      </c>
      <c r="G307">
        <v>15514512</v>
      </c>
      <c r="H307">
        <v>3</v>
      </c>
      <c r="I307" t="s">
        <v>693</v>
      </c>
      <c r="J307" t="s">
        <v>694</v>
      </c>
      <c r="K307" t="s">
        <v>695</v>
      </c>
      <c r="L307">
        <v>1346</v>
      </c>
      <c r="N307">
        <v>1009</v>
      </c>
      <c r="O307" t="s">
        <v>577</v>
      </c>
      <c r="P307" t="s">
        <v>577</v>
      </c>
      <c r="Q307">
        <v>1</v>
      </c>
      <c r="X307">
        <v>2.0000000000000002E-5</v>
      </c>
      <c r="Y307">
        <v>494.57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409</v>
      </c>
      <c r="AG307">
        <v>6.0000000000000008E-5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ROW(Source!A393)</f>
        <v>393</v>
      </c>
      <c r="B308">
        <v>1471998522</v>
      </c>
      <c r="C308">
        <v>1471751883</v>
      </c>
      <c r="D308">
        <v>1441836230</v>
      </c>
      <c r="E308">
        <v>1</v>
      </c>
      <c r="F308">
        <v>1</v>
      </c>
      <c r="G308">
        <v>15514512</v>
      </c>
      <c r="H308">
        <v>3</v>
      </c>
      <c r="I308" t="s">
        <v>690</v>
      </c>
      <c r="J308" t="s">
        <v>691</v>
      </c>
      <c r="K308" t="s">
        <v>692</v>
      </c>
      <c r="L308">
        <v>1327</v>
      </c>
      <c r="N308">
        <v>1005</v>
      </c>
      <c r="O308" t="s">
        <v>659</v>
      </c>
      <c r="P308" t="s">
        <v>659</v>
      </c>
      <c r="Q308">
        <v>1</v>
      </c>
      <c r="X308">
        <v>0.01</v>
      </c>
      <c r="Y308">
        <v>46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409</v>
      </c>
      <c r="AG308">
        <v>0.03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ROW(Source!A394)</f>
        <v>394</v>
      </c>
      <c r="B309">
        <v>1471998536</v>
      </c>
      <c r="C309">
        <v>1471751896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563</v>
      </c>
      <c r="J309" t="s">
        <v>3</v>
      </c>
      <c r="K309" t="s">
        <v>564</v>
      </c>
      <c r="L309">
        <v>1191</v>
      </c>
      <c r="N309">
        <v>1013</v>
      </c>
      <c r="O309" t="s">
        <v>565</v>
      </c>
      <c r="P309" t="s">
        <v>565</v>
      </c>
      <c r="Q309">
        <v>1</v>
      </c>
      <c r="X309">
        <v>0.3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</v>
      </c>
      <c r="AG309">
        <v>0.3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ROW(Source!A394)</f>
        <v>394</v>
      </c>
      <c r="B310">
        <v>1471998537</v>
      </c>
      <c r="C310">
        <v>1471751896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578</v>
      </c>
      <c r="J310" t="s">
        <v>579</v>
      </c>
      <c r="K310" t="s">
        <v>580</v>
      </c>
      <c r="L310">
        <v>1346</v>
      </c>
      <c r="N310">
        <v>1009</v>
      </c>
      <c r="O310" t="s">
        <v>577</v>
      </c>
      <c r="P310" t="s">
        <v>577</v>
      </c>
      <c r="Q310">
        <v>1</v>
      </c>
      <c r="X310">
        <v>0.02</v>
      </c>
      <c r="Y310">
        <v>31.49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0.02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ROW(Source!A395)</f>
        <v>395</v>
      </c>
      <c r="B311">
        <v>1471998552</v>
      </c>
      <c r="C311">
        <v>1471751903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563</v>
      </c>
      <c r="J311" t="s">
        <v>3</v>
      </c>
      <c r="K311" t="s">
        <v>564</v>
      </c>
      <c r="L311">
        <v>1191</v>
      </c>
      <c r="N311">
        <v>1013</v>
      </c>
      <c r="O311" t="s">
        <v>565</v>
      </c>
      <c r="P311" t="s">
        <v>565</v>
      </c>
      <c r="Q311">
        <v>1</v>
      </c>
      <c r="X311">
        <v>0.3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0.3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ROW(Source!A395)</f>
        <v>395</v>
      </c>
      <c r="B312">
        <v>1471998553</v>
      </c>
      <c r="C312">
        <v>1471751903</v>
      </c>
      <c r="D312">
        <v>1441836235</v>
      </c>
      <c r="E312">
        <v>1</v>
      </c>
      <c r="F312">
        <v>1</v>
      </c>
      <c r="G312">
        <v>15514512</v>
      </c>
      <c r="H312">
        <v>3</v>
      </c>
      <c r="I312" t="s">
        <v>578</v>
      </c>
      <c r="J312" t="s">
        <v>579</v>
      </c>
      <c r="K312" t="s">
        <v>580</v>
      </c>
      <c r="L312">
        <v>1346</v>
      </c>
      <c r="N312">
        <v>1009</v>
      </c>
      <c r="O312" t="s">
        <v>577</v>
      </c>
      <c r="P312" t="s">
        <v>577</v>
      </c>
      <c r="Q312">
        <v>1</v>
      </c>
      <c r="X312">
        <v>0.02</v>
      </c>
      <c r="Y312">
        <v>31.49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0.02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ROW(Source!A431)</f>
        <v>431</v>
      </c>
      <c r="B313">
        <v>1471998571</v>
      </c>
      <c r="C313">
        <v>1471751910</v>
      </c>
      <c r="D313">
        <v>1441819193</v>
      </c>
      <c r="E313">
        <v>15514512</v>
      </c>
      <c r="F313">
        <v>1</v>
      </c>
      <c r="G313">
        <v>15514512</v>
      </c>
      <c r="H313">
        <v>1</v>
      </c>
      <c r="I313" t="s">
        <v>563</v>
      </c>
      <c r="J313" t="s">
        <v>3</v>
      </c>
      <c r="K313" t="s">
        <v>564</v>
      </c>
      <c r="L313">
        <v>1191</v>
      </c>
      <c r="N313">
        <v>1013</v>
      </c>
      <c r="O313" t="s">
        <v>565</v>
      </c>
      <c r="P313" t="s">
        <v>565</v>
      </c>
      <c r="Q313">
        <v>1</v>
      </c>
      <c r="X313">
        <v>7.14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1</v>
      </c>
      <c r="AF313" t="s">
        <v>3</v>
      </c>
      <c r="AG313">
        <v>7.14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ROW(Source!A431)</f>
        <v>431</v>
      </c>
      <c r="B314">
        <v>1471998573</v>
      </c>
      <c r="C314">
        <v>1471751910</v>
      </c>
      <c r="D314">
        <v>1441836237</v>
      </c>
      <c r="E314">
        <v>1</v>
      </c>
      <c r="F314">
        <v>1</v>
      </c>
      <c r="G314">
        <v>15514512</v>
      </c>
      <c r="H314">
        <v>3</v>
      </c>
      <c r="I314" t="s">
        <v>675</v>
      </c>
      <c r="J314" t="s">
        <v>676</v>
      </c>
      <c r="K314" t="s">
        <v>677</v>
      </c>
      <c r="L314">
        <v>1346</v>
      </c>
      <c r="N314">
        <v>1009</v>
      </c>
      <c r="O314" t="s">
        <v>577</v>
      </c>
      <c r="P314" t="s">
        <v>577</v>
      </c>
      <c r="Q314">
        <v>1</v>
      </c>
      <c r="X314">
        <v>0.06</v>
      </c>
      <c r="Y314">
        <v>375.16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0.06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ROW(Source!A432)</f>
        <v>432</v>
      </c>
      <c r="B315">
        <v>1471998586</v>
      </c>
      <c r="C315">
        <v>1471751917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563</v>
      </c>
      <c r="J315" t="s">
        <v>3</v>
      </c>
      <c r="K315" t="s">
        <v>564</v>
      </c>
      <c r="L315">
        <v>1191</v>
      </c>
      <c r="N315">
        <v>1013</v>
      </c>
      <c r="O315" t="s">
        <v>565</v>
      </c>
      <c r="P315" t="s">
        <v>565</v>
      </c>
      <c r="Q315">
        <v>1</v>
      </c>
      <c r="X315">
        <v>0.24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1</v>
      </c>
      <c r="AF315" t="s">
        <v>3</v>
      </c>
      <c r="AG315">
        <v>0.24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ROW(Source!A433)</f>
        <v>433</v>
      </c>
      <c r="B316">
        <v>1471998610</v>
      </c>
      <c r="C316">
        <v>1471751921</v>
      </c>
      <c r="D316">
        <v>1441819193</v>
      </c>
      <c r="E316">
        <v>15514512</v>
      </c>
      <c r="F316">
        <v>1</v>
      </c>
      <c r="G316">
        <v>15514512</v>
      </c>
      <c r="H316">
        <v>1</v>
      </c>
      <c r="I316" t="s">
        <v>563</v>
      </c>
      <c r="J316" t="s">
        <v>3</v>
      </c>
      <c r="K316" t="s">
        <v>564</v>
      </c>
      <c r="L316">
        <v>1191</v>
      </c>
      <c r="N316">
        <v>1013</v>
      </c>
      <c r="O316" t="s">
        <v>565</v>
      </c>
      <c r="P316" t="s">
        <v>565</v>
      </c>
      <c r="Q316">
        <v>1</v>
      </c>
      <c r="X316">
        <v>10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1</v>
      </c>
      <c r="AF316" t="s">
        <v>3</v>
      </c>
      <c r="AG316">
        <v>10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ROW(Source!A433)</f>
        <v>433</v>
      </c>
      <c r="B317">
        <v>1471998611</v>
      </c>
      <c r="C317">
        <v>1471751921</v>
      </c>
      <c r="D317">
        <v>1441836237</v>
      </c>
      <c r="E317">
        <v>1</v>
      </c>
      <c r="F317">
        <v>1</v>
      </c>
      <c r="G317">
        <v>15514512</v>
      </c>
      <c r="H317">
        <v>3</v>
      </c>
      <c r="I317" t="s">
        <v>675</v>
      </c>
      <c r="J317" t="s">
        <v>676</v>
      </c>
      <c r="K317" t="s">
        <v>677</v>
      </c>
      <c r="L317">
        <v>1346</v>
      </c>
      <c r="N317">
        <v>1009</v>
      </c>
      <c r="O317" t="s">
        <v>577</v>
      </c>
      <c r="P317" t="s">
        <v>577</v>
      </c>
      <c r="Q317">
        <v>1</v>
      </c>
      <c r="X317">
        <v>0.06</v>
      </c>
      <c r="Y317">
        <v>375.16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0.06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ROW(Source!A434)</f>
        <v>434</v>
      </c>
      <c r="B318">
        <v>1471998640</v>
      </c>
      <c r="C318">
        <v>1471751928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563</v>
      </c>
      <c r="J318" t="s">
        <v>3</v>
      </c>
      <c r="K318" t="s">
        <v>564</v>
      </c>
      <c r="L318">
        <v>1191</v>
      </c>
      <c r="N318">
        <v>1013</v>
      </c>
      <c r="O318" t="s">
        <v>565</v>
      </c>
      <c r="P318" t="s">
        <v>565</v>
      </c>
      <c r="Q318">
        <v>1</v>
      </c>
      <c r="X318">
        <v>0.33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</v>
      </c>
      <c r="AG318">
        <v>0.33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ROW(Source!A435)</f>
        <v>435</v>
      </c>
      <c r="B319">
        <v>1471998664</v>
      </c>
      <c r="C319">
        <v>1471751932</v>
      </c>
      <c r="D319">
        <v>1441819193</v>
      </c>
      <c r="E319">
        <v>15514512</v>
      </c>
      <c r="F319">
        <v>1</v>
      </c>
      <c r="G319">
        <v>15514512</v>
      </c>
      <c r="H319">
        <v>1</v>
      </c>
      <c r="I319" t="s">
        <v>563</v>
      </c>
      <c r="J319" t="s">
        <v>3</v>
      </c>
      <c r="K319" t="s">
        <v>564</v>
      </c>
      <c r="L319">
        <v>1191</v>
      </c>
      <c r="N319">
        <v>1013</v>
      </c>
      <c r="O319" t="s">
        <v>565</v>
      </c>
      <c r="P319" t="s">
        <v>565</v>
      </c>
      <c r="Q319">
        <v>1</v>
      </c>
      <c r="X319">
        <v>11.22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1</v>
      </c>
      <c r="AF319" t="s">
        <v>3</v>
      </c>
      <c r="AG319">
        <v>11.22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ROW(Source!A435)</f>
        <v>435</v>
      </c>
      <c r="B320">
        <v>1471998665</v>
      </c>
      <c r="C320">
        <v>1471751932</v>
      </c>
      <c r="D320">
        <v>1441836237</v>
      </c>
      <c r="E320">
        <v>1</v>
      </c>
      <c r="F320">
        <v>1</v>
      </c>
      <c r="G320">
        <v>15514512</v>
      </c>
      <c r="H320">
        <v>3</v>
      </c>
      <c r="I320" t="s">
        <v>675</v>
      </c>
      <c r="J320" t="s">
        <v>676</v>
      </c>
      <c r="K320" t="s">
        <v>677</v>
      </c>
      <c r="L320">
        <v>1346</v>
      </c>
      <c r="N320">
        <v>1009</v>
      </c>
      <c r="O320" t="s">
        <v>577</v>
      </c>
      <c r="P320" t="s">
        <v>577</v>
      </c>
      <c r="Q320">
        <v>1</v>
      </c>
      <c r="X320">
        <v>3.9E-2</v>
      </c>
      <c r="Y320">
        <v>375.16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3.9E-2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ROW(Source!A436)</f>
        <v>436</v>
      </c>
      <c r="B321">
        <v>1471998696</v>
      </c>
      <c r="C321">
        <v>1471751939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563</v>
      </c>
      <c r="J321" t="s">
        <v>3</v>
      </c>
      <c r="K321" t="s">
        <v>564</v>
      </c>
      <c r="L321">
        <v>1191</v>
      </c>
      <c r="N321">
        <v>1013</v>
      </c>
      <c r="O321" t="s">
        <v>565</v>
      </c>
      <c r="P321" t="s">
        <v>565</v>
      </c>
      <c r="Q321">
        <v>1</v>
      </c>
      <c r="X321">
        <v>0.38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3</v>
      </c>
      <c r="AG321">
        <v>0.38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ROW(Source!A436)</f>
        <v>436</v>
      </c>
      <c r="B322">
        <v>1471998697</v>
      </c>
      <c r="C322">
        <v>1471751939</v>
      </c>
      <c r="D322">
        <v>1441836237</v>
      </c>
      <c r="E322">
        <v>1</v>
      </c>
      <c r="F322">
        <v>1</v>
      </c>
      <c r="G322">
        <v>15514512</v>
      </c>
      <c r="H322">
        <v>3</v>
      </c>
      <c r="I322" t="s">
        <v>675</v>
      </c>
      <c r="J322" t="s">
        <v>676</v>
      </c>
      <c r="K322" t="s">
        <v>677</v>
      </c>
      <c r="L322">
        <v>1346</v>
      </c>
      <c r="N322">
        <v>1009</v>
      </c>
      <c r="O322" t="s">
        <v>577</v>
      </c>
      <c r="P322" t="s">
        <v>577</v>
      </c>
      <c r="Q322">
        <v>1</v>
      </c>
      <c r="X322">
        <v>1E-3</v>
      </c>
      <c r="Y322">
        <v>375.16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1E-3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ROW(Source!A437)</f>
        <v>437</v>
      </c>
      <c r="B323">
        <v>1471998730</v>
      </c>
      <c r="C323">
        <v>1471751948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563</v>
      </c>
      <c r="J323" t="s">
        <v>3</v>
      </c>
      <c r="K323" t="s">
        <v>564</v>
      </c>
      <c r="L323">
        <v>1191</v>
      </c>
      <c r="N323">
        <v>1013</v>
      </c>
      <c r="O323" t="s">
        <v>565</v>
      </c>
      <c r="P323" t="s">
        <v>565</v>
      </c>
      <c r="Q323">
        <v>1</v>
      </c>
      <c r="X323">
        <v>11.88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</v>
      </c>
      <c r="AG323">
        <v>11.88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ROW(Source!A437)</f>
        <v>437</v>
      </c>
      <c r="B324">
        <v>1471998731</v>
      </c>
      <c r="C324">
        <v>1471751948</v>
      </c>
      <c r="D324">
        <v>1441836237</v>
      </c>
      <c r="E324">
        <v>1</v>
      </c>
      <c r="F324">
        <v>1</v>
      </c>
      <c r="G324">
        <v>15514512</v>
      </c>
      <c r="H324">
        <v>3</v>
      </c>
      <c r="I324" t="s">
        <v>675</v>
      </c>
      <c r="J324" t="s">
        <v>676</v>
      </c>
      <c r="K324" t="s">
        <v>677</v>
      </c>
      <c r="L324">
        <v>1346</v>
      </c>
      <c r="N324">
        <v>1009</v>
      </c>
      <c r="O324" t="s">
        <v>577</v>
      </c>
      <c r="P324" t="s">
        <v>577</v>
      </c>
      <c r="Q324">
        <v>1</v>
      </c>
      <c r="X324">
        <v>4.2000000000000003E-2</v>
      </c>
      <c r="Y324">
        <v>375.16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4.2000000000000003E-2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ROW(Source!A438)</f>
        <v>438</v>
      </c>
      <c r="B325">
        <v>1471998750</v>
      </c>
      <c r="C325">
        <v>1471751955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563</v>
      </c>
      <c r="J325" t="s">
        <v>3</v>
      </c>
      <c r="K325" t="s">
        <v>564</v>
      </c>
      <c r="L325">
        <v>1191</v>
      </c>
      <c r="N325">
        <v>1013</v>
      </c>
      <c r="O325" t="s">
        <v>565</v>
      </c>
      <c r="P325" t="s">
        <v>565</v>
      </c>
      <c r="Q325">
        <v>1</v>
      </c>
      <c r="X325">
        <v>2.64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3</v>
      </c>
      <c r="AG325">
        <v>2.64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ROW(Source!A438)</f>
        <v>438</v>
      </c>
      <c r="B326">
        <v>1471998751</v>
      </c>
      <c r="C326">
        <v>1471751955</v>
      </c>
      <c r="D326">
        <v>1441836237</v>
      </c>
      <c r="E326">
        <v>1</v>
      </c>
      <c r="F326">
        <v>1</v>
      </c>
      <c r="G326">
        <v>15514512</v>
      </c>
      <c r="H326">
        <v>3</v>
      </c>
      <c r="I326" t="s">
        <v>675</v>
      </c>
      <c r="J326" t="s">
        <v>676</v>
      </c>
      <c r="K326" t="s">
        <v>677</v>
      </c>
      <c r="L326">
        <v>1346</v>
      </c>
      <c r="N326">
        <v>1009</v>
      </c>
      <c r="O326" t="s">
        <v>577</v>
      </c>
      <c r="P326" t="s">
        <v>577</v>
      </c>
      <c r="Q326">
        <v>1</v>
      </c>
      <c r="X326">
        <v>8.9999999999999993E-3</v>
      </c>
      <c r="Y326">
        <v>375.16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3</v>
      </c>
      <c r="AG326">
        <v>8.9999999999999993E-3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ROW(Source!A439)</f>
        <v>439</v>
      </c>
      <c r="B327">
        <v>1471998794</v>
      </c>
      <c r="C327">
        <v>1471751962</v>
      </c>
      <c r="D327">
        <v>1441819193</v>
      </c>
      <c r="E327">
        <v>15514512</v>
      </c>
      <c r="F327">
        <v>1</v>
      </c>
      <c r="G327">
        <v>15514512</v>
      </c>
      <c r="H327">
        <v>1</v>
      </c>
      <c r="I327" t="s">
        <v>563</v>
      </c>
      <c r="J327" t="s">
        <v>3</v>
      </c>
      <c r="K327" t="s">
        <v>564</v>
      </c>
      <c r="L327">
        <v>1191</v>
      </c>
      <c r="N327">
        <v>1013</v>
      </c>
      <c r="O327" t="s">
        <v>565</v>
      </c>
      <c r="P327" t="s">
        <v>565</v>
      </c>
      <c r="Q327">
        <v>1</v>
      </c>
      <c r="X327">
        <v>0.4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1</v>
      </c>
      <c r="AF327" t="s">
        <v>3</v>
      </c>
      <c r="AG327">
        <v>0.4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ROW(Source!A439)</f>
        <v>439</v>
      </c>
      <c r="B328">
        <v>1471998795</v>
      </c>
      <c r="C328">
        <v>1471751962</v>
      </c>
      <c r="D328">
        <v>1441836237</v>
      </c>
      <c r="E328">
        <v>1</v>
      </c>
      <c r="F328">
        <v>1</v>
      </c>
      <c r="G328">
        <v>15514512</v>
      </c>
      <c r="H328">
        <v>3</v>
      </c>
      <c r="I328" t="s">
        <v>675</v>
      </c>
      <c r="J328" t="s">
        <v>676</v>
      </c>
      <c r="K328" t="s">
        <v>677</v>
      </c>
      <c r="L328">
        <v>1346</v>
      </c>
      <c r="N328">
        <v>1009</v>
      </c>
      <c r="O328" t="s">
        <v>577</v>
      </c>
      <c r="P328" t="s">
        <v>577</v>
      </c>
      <c r="Q328">
        <v>1</v>
      </c>
      <c r="X328">
        <v>1E-3</v>
      </c>
      <c r="Y328">
        <v>375.16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1E-3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ROW(Source!A440)</f>
        <v>440</v>
      </c>
      <c r="B329">
        <v>1471998820</v>
      </c>
      <c r="C329">
        <v>1471751969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563</v>
      </c>
      <c r="J329" t="s">
        <v>3</v>
      </c>
      <c r="K329" t="s">
        <v>564</v>
      </c>
      <c r="L329">
        <v>1191</v>
      </c>
      <c r="N329">
        <v>1013</v>
      </c>
      <c r="O329" t="s">
        <v>565</v>
      </c>
      <c r="P329" t="s">
        <v>565</v>
      </c>
      <c r="Q329">
        <v>1</v>
      </c>
      <c r="X329">
        <v>14.58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3</v>
      </c>
      <c r="AG329">
        <v>14.58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ROW(Source!A440)</f>
        <v>440</v>
      </c>
      <c r="B330">
        <v>1471998821</v>
      </c>
      <c r="C330">
        <v>1471751969</v>
      </c>
      <c r="D330">
        <v>1441836237</v>
      </c>
      <c r="E330">
        <v>1</v>
      </c>
      <c r="F330">
        <v>1</v>
      </c>
      <c r="G330">
        <v>15514512</v>
      </c>
      <c r="H330">
        <v>3</v>
      </c>
      <c r="I330" t="s">
        <v>675</v>
      </c>
      <c r="J330" t="s">
        <v>676</v>
      </c>
      <c r="K330" t="s">
        <v>677</v>
      </c>
      <c r="L330">
        <v>1346</v>
      </c>
      <c r="N330">
        <v>1009</v>
      </c>
      <c r="O330" t="s">
        <v>577</v>
      </c>
      <c r="P330" t="s">
        <v>577</v>
      </c>
      <c r="Q330">
        <v>1</v>
      </c>
      <c r="X330">
        <v>5.0999999999999997E-2</v>
      </c>
      <c r="Y330">
        <v>375.16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5.0999999999999997E-2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ROW(Source!A441)</f>
        <v>441</v>
      </c>
      <c r="B331">
        <v>1471998849</v>
      </c>
      <c r="C331">
        <v>1471751976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563</v>
      </c>
      <c r="J331" t="s">
        <v>3</v>
      </c>
      <c r="K331" t="s">
        <v>564</v>
      </c>
      <c r="L331">
        <v>1191</v>
      </c>
      <c r="N331">
        <v>1013</v>
      </c>
      <c r="O331" t="s">
        <v>565</v>
      </c>
      <c r="P331" t="s">
        <v>565</v>
      </c>
      <c r="Q331">
        <v>1</v>
      </c>
      <c r="X331">
        <v>3.24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3.24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ROW(Source!A441)</f>
        <v>441</v>
      </c>
      <c r="B332">
        <v>1471998850</v>
      </c>
      <c r="C332">
        <v>1471751976</v>
      </c>
      <c r="D332">
        <v>1441836237</v>
      </c>
      <c r="E332">
        <v>1</v>
      </c>
      <c r="F332">
        <v>1</v>
      </c>
      <c r="G332">
        <v>15514512</v>
      </c>
      <c r="H332">
        <v>3</v>
      </c>
      <c r="I332" t="s">
        <v>675</v>
      </c>
      <c r="J332" t="s">
        <v>676</v>
      </c>
      <c r="K332" t="s">
        <v>677</v>
      </c>
      <c r="L332">
        <v>1346</v>
      </c>
      <c r="N332">
        <v>1009</v>
      </c>
      <c r="O332" t="s">
        <v>577</v>
      </c>
      <c r="P332" t="s">
        <v>577</v>
      </c>
      <c r="Q332">
        <v>1</v>
      </c>
      <c r="X332">
        <v>1.0999999999999999E-2</v>
      </c>
      <c r="Y332">
        <v>375.16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1.0999999999999999E-2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ROW(Source!A442)</f>
        <v>442</v>
      </c>
      <c r="B333">
        <v>1471998875</v>
      </c>
      <c r="C333">
        <v>1471751983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563</v>
      </c>
      <c r="J333" t="s">
        <v>3</v>
      </c>
      <c r="K333" t="s">
        <v>564</v>
      </c>
      <c r="L333">
        <v>1191</v>
      </c>
      <c r="N333">
        <v>1013</v>
      </c>
      <c r="O333" t="s">
        <v>565</v>
      </c>
      <c r="P333" t="s">
        <v>565</v>
      </c>
      <c r="Q333">
        <v>1</v>
      </c>
      <c r="X333">
        <v>0.49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0.49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ROW(Source!A442)</f>
        <v>442</v>
      </c>
      <c r="B334">
        <v>1471998876</v>
      </c>
      <c r="C334">
        <v>1471751983</v>
      </c>
      <c r="D334">
        <v>1441836237</v>
      </c>
      <c r="E334">
        <v>1</v>
      </c>
      <c r="F334">
        <v>1</v>
      </c>
      <c r="G334">
        <v>15514512</v>
      </c>
      <c r="H334">
        <v>3</v>
      </c>
      <c r="I334" t="s">
        <v>675</v>
      </c>
      <c r="J334" t="s">
        <v>676</v>
      </c>
      <c r="K334" t="s">
        <v>677</v>
      </c>
      <c r="L334">
        <v>1346</v>
      </c>
      <c r="N334">
        <v>1009</v>
      </c>
      <c r="O334" t="s">
        <v>577</v>
      </c>
      <c r="P334" t="s">
        <v>577</v>
      </c>
      <c r="Q334">
        <v>1</v>
      </c>
      <c r="X334">
        <v>2E-3</v>
      </c>
      <c r="Y334">
        <v>375.16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2E-3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ROW(Source!A444)</f>
        <v>444</v>
      </c>
      <c r="B335">
        <v>1471998907</v>
      </c>
      <c r="C335">
        <v>1471751991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563</v>
      </c>
      <c r="J335" t="s">
        <v>3</v>
      </c>
      <c r="K335" t="s">
        <v>564</v>
      </c>
      <c r="L335">
        <v>1191</v>
      </c>
      <c r="N335">
        <v>1013</v>
      </c>
      <c r="O335" t="s">
        <v>565</v>
      </c>
      <c r="P335" t="s">
        <v>565</v>
      </c>
      <c r="Q335">
        <v>1</v>
      </c>
      <c r="X335">
        <v>1.06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117</v>
      </c>
      <c r="AG335">
        <v>2.12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ROW(Source!A445)</f>
        <v>445</v>
      </c>
      <c r="B336">
        <v>1471998926</v>
      </c>
      <c r="C336">
        <v>1471751995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563</v>
      </c>
      <c r="J336" t="s">
        <v>3</v>
      </c>
      <c r="K336" t="s">
        <v>564</v>
      </c>
      <c r="L336">
        <v>1191</v>
      </c>
      <c r="N336">
        <v>1013</v>
      </c>
      <c r="O336" t="s">
        <v>565</v>
      </c>
      <c r="P336" t="s">
        <v>565</v>
      </c>
      <c r="Q336">
        <v>1</v>
      </c>
      <c r="X336">
        <v>0.96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1</v>
      </c>
      <c r="AF336" t="s">
        <v>3</v>
      </c>
      <c r="AG336">
        <v>0.96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ROW(Source!A445)</f>
        <v>445</v>
      </c>
      <c r="B337">
        <v>1471998927</v>
      </c>
      <c r="C337">
        <v>1471751995</v>
      </c>
      <c r="D337">
        <v>1441836235</v>
      </c>
      <c r="E337">
        <v>1</v>
      </c>
      <c r="F337">
        <v>1</v>
      </c>
      <c r="G337">
        <v>15514512</v>
      </c>
      <c r="H337">
        <v>3</v>
      </c>
      <c r="I337" t="s">
        <v>578</v>
      </c>
      <c r="J337" t="s">
        <v>579</v>
      </c>
      <c r="K337" t="s">
        <v>580</v>
      </c>
      <c r="L337">
        <v>1346</v>
      </c>
      <c r="N337">
        <v>1009</v>
      </c>
      <c r="O337" t="s">
        <v>577</v>
      </c>
      <c r="P337" t="s">
        <v>577</v>
      </c>
      <c r="Q337">
        <v>1</v>
      </c>
      <c r="X337">
        <v>0.05</v>
      </c>
      <c r="Y337">
        <v>31.49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0.05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ROW(Source!A445)</f>
        <v>445</v>
      </c>
      <c r="B338">
        <v>1471998928</v>
      </c>
      <c r="C338">
        <v>1471751995</v>
      </c>
      <c r="D338">
        <v>1441834628</v>
      </c>
      <c r="E338">
        <v>1</v>
      </c>
      <c r="F338">
        <v>1</v>
      </c>
      <c r="G338">
        <v>15514512</v>
      </c>
      <c r="H338">
        <v>3</v>
      </c>
      <c r="I338" t="s">
        <v>624</v>
      </c>
      <c r="J338" t="s">
        <v>625</v>
      </c>
      <c r="K338" t="s">
        <v>626</v>
      </c>
      <c r="L338">
        <v>1348</v>
      </c>
      <c r="N338">
        <v>1009</v>
      </c>
      <c r="O338" t="s">
        <v>569</v>
      </c>
      <c r="P338" t="s">
        <v>569</v>
      </c>
      <c r="Q338">
        <v>1000</v>
      </c>
      <c r="X338">
        <v>3.0000000000000001E-5</v>
      </c>
      <c r="Y338">
        <v>73951.73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3.0000000000000001E-5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ROW(Source!A445)</f>
        <v>445</v>
      </c>
      <c r="B339">
        <v>1471998929</v>
      </c>
      <c r="C339">
        <v>1471751995</v>
      </c>
      <c r="D339">
        <v>1441834669</v>
      </c>
      <c r="E339">
        <v>1</v>
      </c>
      <c r="F339">
        <v>1</v>
      </c>
      <c r="G339">
        <v>15514512</v>
      </c>
      <c r="H339">
        <v>3</v>
      </c>
      <c r="I339" t="s">
        <v>696</v>
      </c>
      <c r="J339" t="s">
        <v>697</v>
      </c>
      <c r="K339" t="s">
        <v>698</v>
      </c>
      <c r="L339">
        <v>1346</v>
      </c>
      <c r="N339">
        <v>1009</v>
      </c>
      <c r="O339" t="s">
        <v>577</v>
      </c>
      <c r="P339" t="s">
        <v>577</v>
      </c>
      <c r="Q339">
        <v>1</v>
      </c>
      <c r="X339">
        <v>0.01</v>
      </c>
      <c r="Y339">
        <v>222.28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0.01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ROW(Source!A446)</f>
        <v>446</v>
      </c>
      <c r="B340">
        <v>1471998972</v>
      </c>
      <c r="C340">
        <v>1471752008</v>
      </c>
      <c r="D340">
        <v>1441819193</v>
      </c>
      <c r="E340">
        <v>15514512</v>
      </c>
      <c r="F340">
        <v>1</v>
      </c>
      <c r="G340">
        <v>15514512</v>
      </c>
      <c r="H340">
        <v>1</v>
      </c>
      <c r="I340" t="s">
        <v>563</v>
      </c>
      <c r="J340" t="s">
        <v>3</v>
      </c>
      <c r="K340" t="s">
        <v>564</v>
      </c>
      <c r="L340">
        <v>1191</v>
      </c>
      <c r="N340">
        <v>1013</v>
      </c>
      <c r="O340" t="s">
        <v>565</v>
      </c>
      <c r="P340" t="s">
        <v>565</v>
      </c>
      <c r="Q340">
        <v>1</v>
      </c>
      <c r="X340">
        <v>0.82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1</v>
      </c>
      <c r="AF340" t="s">
        <v>117</v>
      </c>
      <c r="AG340">
        <v>1.64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ROW(Source!A447)</f>
        <v>447</v>
      </c>
      <c r="B341">
        <v>1471998991</v>
      </c>
      <c r="C341">
        <v>1471752012</v>
      </c>
      <c r="D341">
        <v>1441819193</v>
      </c>
      <c r="E341">
        <v>15514512</v>
      </c>
      <c r="F341">
        <v>1</v>
      </c>
      <c r="G341">
        <v>15514512</v>
      </c>
      <c r="H341">
        <v>1</v>
      </c>
      <c r="I341" t="s">
        <v>563</v>
      </c>
      <c r="J341" t="s">
        <v>3</v>
      </c>
      <c r="K341" t="s">
        <v>564</v>
      </c>
      <c r="L341">
        <v>1191</v>
      </c>
      <c r="N341">
        <v>1013</v>
      </c>
      <c r="O341" t="s">
        <v>565</v>
      </c>
      <c r="P341" t="s">
        <v>565</v>
      </c>
      <c r="Q341">
        <v>1</v>
      </c>
      <c r="X341">
        <v>0.92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117</v>
      </c>
      <c r="AG341">
        <v>1.84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ROW(Source!A447)</f>
        <v>447</v>
      </c>
      <c r="B342">
        <v>1471998992</v>
      </c>
      <c r="C342">
        <v>1471752012</v>
      </c>
      <c r="D342">
        <v>1441836187</v>
      </c>
      <c r="E342">
        <v>1</v>
      </c>
      <c r="F342">
        <v>1</v>
      </c>
      <c r="G342">
        <v>15514512</v>
      </c>
      <c r="H342">
        <v>3</v>
      </c>
      <c r="I342" t="s">
        <v>617</v>
      </c>
      <c r="J342" t="s">
        <v>618</v>
      </c>
      <c r="K342" t="s">
        <v>619</v>
      </c>
      <c r="L342">
        <v>1346</v>
      </c>
      <c r="N342">
        <v>1009</v>
      </c>
      <c r="O342" t="s">
        <v>577</v>
      </c>
      <c r="P342" t="s">
        <v>577</v>
      </c>
      <c r="Q342">
        <v>1</v>
      </c>
      <c r="X342">
        <v>1.6E-2</v>
      </c>
      <c r="Y342">
        <v>424.66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117</v>
      </c>
      <c r="AG342">
        <v>3.2000000000000001E-2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ROW(Source!A447)</f>
        <v>447</v>
      </c>
      <c r="B343">
        <v>1471998993</v>
      </c>
      <c r="C343">
        <v>1471752012</v>
      </c>
      <c r="D343">
        <v>1441836235</v>
      </c>
      <c r="E343">
        <v>1</v>
      </c>
      <c r="F343">
        <v>1</v>
      </c>
      <c r="G343">
        <v>15514512</v>
      </c>
      <c r="H343">
        <v>3</v>
      </c>
      <c r="I343" t="s">
        <v>578</v>
      </c>
      <c r="J343" t="s">
        <v>579</v>
      </c>
      <c r="K343" t="s">
        <v>580</v>
      </c>
      <c r="L343">
        <v>1346</v>
      </c>
      <c r="N343">
        <v>1009</v>
      </c>
      <c r="O343" t="s">
        <v>577</v>
      </c>
      <c r="P343" t="s">
        <v>577</v>
      </c>
      <c r="Q343">
        <v>1</v>
      </c>
      <c r="X343">
        <v>0.5</v>
      </c>
      <c r="Y343">
        <v>31.49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117</v>
      </c>
      <c r="AG343">
        <v>1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ROW(Source!A448)</f>
        <v>448</v>
      </c>
      <c r="B344">
        <v>1471999018</v>
      </c>
      <c r="C344">
        <v>1471752022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563</v>
      </c>
      <c r="J344" t="s">
        <v>3</v>
      </c>
      <c r="K344" t="s">
        <v>564</v>
      </c>
      <c r="L344">
        <v>1191</v>
      </c>
      <c r="N344">
        <v>1013</v>
      </c>
      <c r="O344" t="s">
        <v>565</v>
      </c>
      <c r="P344" t="s">
        <v>565</v>
      </c>
      <c r="Q344">
        <v>1</v>
      </c>
      <c r="X344">
        <v>10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1</v>
      </c>
      <c r="AF344" t="s">
        <v>3</v>
      </c>
      <c r="AG344">
        <v>10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ROW(Source!A448)</f>
        <v>448</v>
      </c>
      <c r="B345">
        <v>1471999019</v>
      </c>
      <c r="C345">
        <v>1471752022</v>
      </c>
      <c r="D345">
        <v>1441836237</v>
      </c>
      <c r="E345">
        <v>1</v>
      </c>
      <c r="F345">
        <v>1</v>
      </c>
      <c r="G345">
        <v>15514512</v>
      </c>
      <c r="H345">
        <v>3</v>
      </c>
      <c r="I345" t="s">
        <v>675</v>
      </c>
      <c r="J345" t="s">
        <v>676</v>
      </c>
      <c r="K345" t="s">
        <v>677</v>
      </c>
      <c r="L345">
        <v>1346</v>
      </c>
      <c r="N345">
        <v>1009</v>
      </c>
      <c r="O345" t="s">
        <v>577</v>
      </c>
      <c r="P345" t="s">
        <v>577</v>
      </c>
      <c r="Q345">
        <v>1</v>
      </c>
      <c r="X345">
        <v>0.06</v>
      </c>
      <c r="Y345">
        <v>375.16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</v>
      </c>
      <c r="AG345">
        <v>0.06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ROW(Source!A449)</f>
        <v>449</v>
      </c>
      <c r="B346">
        <v>1471999046</v>
      </c>
      <c r="C346">
        <v>1471752030</v>
      </c>
      <c r="D346">
        <v>1441819193</v>
      </c>
      <c r="E346">
        <v>15514512</v>
      </c>
      <c r="F346">
        <v>1</v>
      </c>
      <c r="G346">
        <v>15514512</v>
      </c>
      <c r="H346">
        <v>1</v>
      </c>
      <c r="I346" t="s">
        <v>563</v>
      </c>
      <c r="J346" t="s">
        <v>3</v>
      </c>
      <c r="K346" t="s">
        <v>564</v>
      </c>
      <c r="L346">
        <v>1191</v>
      </c>
      <c r="N346">
        <v>1013</v>
      </c>
      <c r="O346" t="s">
        <v>565</v>
      </c>
      <c r="P346" t="s">
        <v>565</v>
      </c>
      <c r="Q346">
        <v>1</v>
      </c>
      <c r="X346">
        <v>0.33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1</v>
      </c>
      <c r="AF346" t="s">
        <v>3</v>
      </c>
      <c r="AG346">
        <v>0.33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ROW(Source!A485)</f>
        <v>485</v>
      </c>
      <c r="B347">
        <v>1471999065</v>
      </c>
      <c r="C347">
        <v>1471752034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563</v>
      </c>
      <c r="J347" t="s">
        <v>3</v>
      </c>
      <c r="K347" t="s">
        <v>564</v>
      </c>
      <c r="L347">
        <v>1191</v>
      </c>
      <c r="N347">
        <v>1013</v>
      </c>
      <c r="O347" t="s">
        <v>565</v>
      </c>
      <c r="P347" t="s">
        <v>565</v>
      </c>
      <c r="Q347">
        <v>1</v>
      </c>
      <c r="X347">
        <v>0.4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1</v>
      </c>
      <c r="AF347" t="s">
        <v>3</v>
      </c>
      <c r="AG347">
        <v>0.4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ROW(Source!A485)</f>
        <v>485</v>
      </c>
      <c r="B348">
        <v>1471999066</v>
      </c>
      <c r="C348">
        <v>1471752034</v>
      </c>
      <c r="D348">
        <v>1441836235</v>
      </c>
      <c r="E348">
        <v>1</v>
      </c>
      <c r="F348">
        <v>1</v>
      </c>
      <c r="G348">
        <v>15514512</v>
      </c>
      <c r="H348">
        <v>3</v>
      </c>
      <c r="I348" t="s">
        <v>578</v>
      </c>
      <c r="J348" t="s">
        <v>579</v>
      </c>
      <c r="K348" t="s">
        <v>580</v>
      </c>
      <c r="L348">
        <v>1346</v>
      </c>
      <c r="N348">
        <v>1009</v>
      </c>
      <c r="O348" t="s">
        <v>577</v>
      </c>
      <c r="P348" t="s">
        <v>577</v>
      </c>
      <c r="Q348">
        <v>1</v>
      </c>
      <c r="X348">
        <v>0.2</v>
      </c>
      <c r="Y348">
        <v>31.49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0.2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ROW(Source!A486)</f>
        <v>486</v>
      </c>
      <c r="B349">
        <v>1471999091</v>
      </c>
      <c r="C349">
        <v>1471752041</v>
      </c>
      <c r="D349">
        <v>1441819193</v>
      </c>
      <c r="E349">
        <v>15514512</v>
      </c>
      <c r="F349">
        <v>1</v>
      </c>
      <c r="G349">
        <v>15514512</v>
      </c>
      <c r="H349">
        <v>1</v>
      </c>
      <c r="I349" t="s">
        <v>563</v>
      </c>
      <c r="J349" t="s">
        <v>3</v>
      </c>
      <c r="K349" t="s">
        <v>564</v>
      </c>
      <c r="L349">
        <v>1191</v>
      </c>
      <c r="N349">
        <v>1013</v>
      </c>
      <c r="O349" t="s">
        <v>565</v>
      </c>
      <c r="P349" t="s">
        <v>565</v>
      </c>
      <c r="Q349">
        <v>1</v>
      </c>
      <c r="X349">
        <v>0.18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1</v>
      </c>
      <c r="AF349" t="s">
        <v>3</v>
      </c>
      <c r="AG349">
        <v>0.18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ROW(Source!A486)</f>
        <v>486</v>
      </c>
      <c r="B350">
        <v>1471999092</v>
      </c>
      <c r="C350">
        <v>1471752041</v>
      </c>
      <c r="D350">
        <v>1441836235</v>
      </c>
      <c r="E350">
        <v>1</v>
      </c>
      <c r="F350">
        <v>1</v>
      </c>
      <c r="G350">
        <v>15514512</v>
      </c>
      <c r="H350">
        <v>3</v>
      </c>
      <c r="I350" t="s">
        <v>578</v>
      </c>
      <c r="J350" t="s">
        <v>579</v>
      </c>
      <c r="K350" t="s">
        <v>580</v>
      </c>
      <c r="L350">
        <v>1346</v>
      </c>
      <c r="N350">
        <v>1009</v>
      </c>
      <c r="O350" t="s">
        <v>577</v>
      </c>
      <c r="P350" t="s">
        <v>577</v>
      </c>
      <c r="Q350">
        <v>1</v>
      </c>
      <c r="X350">
        <v>0.2</v>
      </c>
      <c r="Y350">
        <v>31.49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0.2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ROW(Source!A487)</f>
        <v>487</v>
      </c>
      <c r="B351">
        <v>1471999121</v>
      </c>
      <c r="C351">
        <v>1471752048</v>
      </c>
      <c r="D351">
        <v>1441819193</v>
      </c>
      <c r="E351">
        <v>15514512</v>
      </c>
      <c r="F351">
        <v>1</v>
      </c>
      <c r="G351">
        <v>15514512</v>
      </c>
      <c r="H351">
        <v>1</v>
      </c>
      <c r="I351" t="s">
        <v>563</v>
      </c>
      <c r="J351" t="s">
        <v>3</v>
      </c>
      <c r="K351" t="s">
        <v>564</v>
      </c>
      <c r="L351">
        <v>1191</v>
      </c>
      <c r="N351">
        <v>1013</v>
      </c>
      <c r="O351" t="s">
        <v>565</v>
      </c>
      <c r="P351" t="s">
        <v>565</v>
      </c>
      <c r="Q351">
        <v>1</v>
      </c>
      <c r="X351">
        <v>0.24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1</v>
      </c>
      <c r="AF351" t="s">
        <v>117</v>
      </c>
      <c r="AG351">
        <v>0.48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ROW(Source!A488)</f>
        <v>488</v>
      </c>
      <c r="B352">
        <v>1471999140</v>
      </c>
      <c r="C352">
        <v>1471752052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563</v>
      </c>
      <c r="J352" t="s">
        <v>3</v>
      </c>
      <c r="K352" t="s">
        <v>564</v>
      </c>
      <c r="L352">
        <v>1191</v>
      </c>
      <c r="N352">
        <v>1013</v>
      </c>
      <c r="O352" t="s">
        <v>565</v>
      </c>
      <c r="P352" t="s">
        <v>565</v>
      </c>
      <c r="Q352">
        <v>1</v>
      </c>
      <c r="X352">
        <v>0.96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3</v>
      </c>
      <c r="AG352">
        <v>0.96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ROW(Source!A488)</f>
        <v>488</v>
      </c>
      <c r="B353">
        <v>1471999141</v>
      </c>
      <c r="C353">
        <v>1471752052</v>
      </c>
      <c r="D353">
        <v>1441836235</v>
      </c>
      <c r="E353">
        <v>1</v>
      </c>
      <c r="F353">
        <v>1</v>
      </c>
      <c r="G353">
        <v>15514512</v>
      </c>
      <c r="H353">
        <v>3</v>
      </c>
      <c r="I353" t="s">
        <v>578</v>
      </c>
      <c r="J353" t="s">
        <v>579</v>
      </c>
      <c r="K353" t="s">
        <v>580</v>
      </c>
      <c r="L353">
        <v>1346</v>
      </c>
      <c r="N353">
        <v>1009</v>
      </c>
      <c r="O353" t="s">
        <v>577</v>
      </c>
      <c r="P353" t="s">
        <v>577</v>
      </c>
      <c r="Q353">
        <v>1</v>
      </c>
      <c r="X353">
        <v>0.05</v>
      </c>
      <c r="Y353">
        <v>31.49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0.05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ROW(Source!A488)</f>
        <v>488</v>
      </c>
      <c r="B354">
        <v>1471999142</v>
      </c>
      <c r="C354">
        <v>1471752052</v>
      </c>
      <c r="D354">
        <v>1441834628</v>
      </c>
      <c r="E354">
        <v>1</v>
      </c>
      <c r="F354">
        <v>1</v>
      </c>
      <c r="G354">
        <v>15514512</v>
      </c>
      <c r="H354">
        <v>3</v>
      </c>
      <c r="I354" t="s">
        <v>624</v>
      </c>
      <c r="J354" t="s">
        <v>625</v>
      </c>
      <c r="K354" t="s">
        <v>626</v>
      </c>
      <c r="L354">
        <v>1348</v>
      </c>
      <c r="N354">
        <v>1009</v>
      </c>
      <c r="O354" t="s">
        <v>569</v>
      </c>
      <c r="P354" t="s">
        <v>569</v>
      </c>
      <c r="Q354">
        <v>1000</v>
      </c>
      <c r="X354">
        <v>3.0000000000000001E-5</v>
      </c>
      <c r="Y354">
        <v>73951.73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3.0000000000000001E-5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ROW(Source!A488)</f>
        <v>488</v>
      </c>
      <c r="B355">
        <v>1471999143</v>
      </c>
      <c r="C355">
        <v>1471752052</v>
      </c>
      <c r="D355">
        <v>1441834669</v>
      </c>
      <c r="E355">
        <v>1</v>
      </c>
      <c r="F355">
        <v>1</v>
      </c>
      <c r="G355">
        <v>15514512</v>
      </c>
      <c r="H355">
        <v>3</v>
      </c>
      <c r="I355" t="s">
        <v>696</v>
      </c>
      <c r="J355" t="s">
        <v>697</v>
      </c>
      <c r="K355" t="s">
        <v>698</v>
      </c>
      <c r="L355">
        <v>1346</v>
      </c>
      <c r="N355">
        <v>1009</v>
      </c>
      <c r="O355" t="s">
        <v>577</v>
      </c>
      <c r="P355" t="s">
        <v>577</v>
      </c>
      <c r="Q355">
        <v>1</v>
      </c>
      <c r="X355">
        <v>0.01</v>
      </c>
      <c r="Y355">
        <v>222.28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0.01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ROW(Source!A524)</f>
        <v>524</v>
      </c>
      <c r="B356">
        <v>1471999166</v>
      </c>
      <c r="C356">
        <v>1471752065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563</v>
      </c>
      <c r="J356" t="s">
        <v>3</v>
      </c>
      <c r="K356" t="s">
        <v>564</v>
      </c>
      <c r="L356">
        <v>1191</v>
      </c>
      <c r="N356">
        <v>1013</v>
      </c>
      <c r="O356" t="s">
        <v>565</v>
      </c>
      <c r="P356" t="s">
        <v>565</v>
      </c>
      <c r="Q356">
        <v>1</v>
      </c>
      <c r="X356">
        <v>24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3</v>
      </c>
      <c r="AG356">
        <v>24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ROW(Source!A524)</f>
        <v>524</v>
      </c>
      <c r="B357">
        <v>1471999168</v>
      </c>
      <c r="C357">
        <v>1471752065</v>
      </c>
      <c r="D357">
        <v>1441836237</v>
      </c>
      <c r="E357">
        <v>1</v>
      </c>
      <c r="F357">
        <v>1</v>
      </c>
      <c r="G357">
        <v>15514512</v>
      </c>
      <c r="H357">
        <v>3</v>
      </c>
      <c r="I357" t="s">
        <v>675</v>
      </c>
      <c r="J357" t="s">
        <v>676</v>
      </c>
      <c r="K357" t="s">
        <v>677</v>
      </c>
      <c r="L357">
        <v>1346</v>
      </c>
      <c r="N357">
        <v>1009</v>
      </c>
      <c r="O357" t="s">
        <v>577</v>
      </c>
      <c r="P357" t="s">
        <v>577</v>
      </c>
      <c r="Q357">
        <v>1</v>
      </c>
      <c r="X357">
        <v>0.48</v>
      </c>
      <c r="Y357">
        <v>375.16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0.48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ROW(Source!A524)</f>
        <v>524</v>
      </c>
      <c r="B358">
        <v>1471999169</v>
      </c>
      <c r="C358">
        <v>1471752065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578</v>
      </c>
      <c r="J358" t="s">
        <v>579</v>
      </c>
      <c r="K358" t="s">
        <v>580</v>
      </c>
      <c r="L358">
        <v>1346</v>
      </c>
      <c r="N358">
        <v>1009</v>
      </c>
      <c r="O358" t="s">
        <v>577</v>
      </c>
      <c r="P358" t="s">
        <v>577</v>
      </c>
      <c r="Q358">
        <v>1</v>
      </c>
      <c r="X358">
        <v>0.14000000000000001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3</v>
      </c>
      <c r="AG358">
        <v>0.14000000000000001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ROW(Source!A524)</f>
        <v>524</v>
      </c>
      <c r="B359">
        <v>1471999167</v>
      </c>
      <c r="C359">
        <v>1471752065</v>
      </c>
      <c r="D359">
        <v>1441822228</v>
      </c>
      <c r="E359">
        <v>15514512</v>
      </c>
      <c r="F359">
        <v>1</v>
      </c>
      <c r="G359">
        <v>15514512</v>
      </c>
      <c r="H359">
        <v>3</v>
      </c>
      <c r="I359" t="s">
        <v>624</v>
      </c>
      <c r="J359" t="s">
        <v>3</v>
      </c>
      <c r="K359" t="s">
        <v>626</v>
      </c>
      <c r="L359">
        <v>1346</v>
      </c>
      <c r="N359">
        <v>1009</v>
      </c>
      <c r="O359" t="s">
        <v>577</v>
      </c>
      <c r="P359" t="s">
        <v>577</v>
      </c>
      <c r="Q359">
        <v>1</v>
      </c>
      <c r="X359">
        <v>0.14000000000000001</v>
      </c>
      <c r="Y359">
        <v>73.951729999999998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3</v>
      </c>
      <c r="AG359">
        <v>0.14000000000000001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ROW(Source!A524)</f>
        <v>524</v>
      </c>
      <c r="B360">
        <v>1471999170</v>
      </c>
      <c r="C360">
        <v>1471752065</v>
      </c>
      <c r="D360">
        <v>1441834920</v>
      </c>
      <c r="E360">
        <v>1</v>
      </c>
      <c r="F360">
        <v>1</v>
      </c>
      <c r="G360">
        <v>15514512</v>
      </c>
      <c r="H360">
        <v>3</v>
      </c>
      <c r="I360" t="s">
        <v>678</v>
      </c>
      <c r="J360" t="s">
        <v>679</v>
      </c>
      <c r="K360" t="s">
        <v>680</v>
      </c>
      <c r="L360">
        <v>1346</v>
      </c>
      <c r="N360">
        <v>1009</v>
      </c>
      <c r="O360" t="s">
        <v>577</v>
      </c>
      <c r="P360" t="s">
        <v>577</v>
      </c>
      <c r="Q360">
        <v>1</v>
      </c>
      <c r="X360">
        <v>0.1</v>
      </c>
      <c r="Y360">
        <v>106.87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0.1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ROW(Source!A525)</f>
        <v>525</v>
      </c>
      <c r="B361">
        <v>1471999197</v>
      </c>
      <c r="C361">
        <v>1471752081</v>
      </c>
      <c r="D361">
        <v>1441819193</v>
      </c>
      <c r="E361">
        <v>15514512</v>
      </c>
      <c r="F361">
        <v>1</v>
      </c>
      <c r="G361">
        <v>15514512</v>
      </c>
      <c r="H361">
        <v>1</v>
      </c>
      <c r="I361" t="s">
        <v>563</v>
      </c>
      <c r="J361" t="s">
        <v>3</v>
      </c>
      <c r="K361" t="s">
        <v>564</v>
      </c>
      <c r="L361">
        <v>1191</v>
      </c>
      <c r="N361">
        <v>1013</v>
      </c>
      <c r="O361" t="s">
        <v>565</v>
      </c>
      <c r="P361" t="s">
        <v>565</v>
      </c>
      <c r="Q361">
        <v>1</v>
      </c>
      <c r="X361">
        <v>0.8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1</v>
      </c>
      <c r="AF361" t="s">
        <v>332</v>
      </c>
      <c r="AG361">
        <v>12.8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ROW(Source!A525)</f>
        <v>525</v>
      </c>
      <c r="B362">
        <v>1471999198</v>
      </c>
      <c r="C362">
        <v>1471752081</v>
      </c>
      <c r="D362">
        <v>1441822228</v>
      </c>
      <c r="E362">
        <v>15514512</v>
      </c>
      <c r="F362">
        <v>1</v>
      </c>
      <c r="G362">
        <v>15514512</v>
      </c>
      <c r="H362">
        <v>3</v>
      </c>
      <c r="I362" t="s">
        <v>624</v>
      </c>
      <c r="J362" t="s">
        <v>3</v>
      </c>
      <c r="K362" t="s">
        <v>626</v>
      </c>
      <c r="L362">
        <v>1346</v>
      </c>
      <c r="N362">
        <v>1009</v>
      </c>
      <c r="O362" t="s">
        <v>577</v>
      </c>
      <c r="P362" t="s">
        <v>577</v>
      </c>
      <c r="Q362">
        <v>1</v>
      </c>
      <c r="X362">
        <v>0.01</v>
      </c>
      <c r="Y362">
        <v>73.951729999999998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332</v>
      </c>
      <c r="AG362">
        <v>0.16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ROW(Source!A526)</f>
        <v>526</v>
      </c>
      <c r="B363">
        <v>1471999223</v>
      </c>
      <c r="C363">
        <v>1471752088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563</v>
      </c>
      <c r="J363" t="s">
        <v>3</v>
      </c>
      <c r="K363" t="s">
        <v>564</v>
      </c>
      <c r="L363">
        <v>1191</v>
      </c>
      <c r="N363">
        <v>1013</v>
      </c>
      <c r="O363" t="s">
        <v>565</v>
      </c>
      <c r="P363" t="s">
        <v>565</v>
      </c>
      <c r="Q363">
        <v>1</v>
      </c>
      <c r="X363">
        <v>15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3</v>
      </c>
      <c r="AG363">
        <v>15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ROW(Source!A526)</f>
        <v>526</v>
      </c>
      <c r="B364">
        <v>1471999225</v>
      </c>
      <c r="C364">
        <v>1471752088</v>
      </c>
      <c r="D364">
        <v>1441836237</v>
      </c>
      <c r="E364">
        <v>1</v>
      </c>
      <c r="F364">
        <v>1</v>
      </c>
      <c r="G364">
        <v>15514512</v>
      </c>
      <c r="H364">
        <v>3</v>
      </c>
      <c r="I364" t="s">
        <v>675</v>
      </c>
      <c r="J364" t="s">
        <v>676</v>
      </c>
      <c r="K364" t="s">
        <v>677</v>
      </c>
      <c r="L364">
        <v>1346</v>
      </c>
      <c r="N364">
        <v>1009</v>
      </c>
      <c r="O364" t="s">
        <v>577</v>
      </c>
      <c r="P364" t="s">
        <v>577</v>
      </c>
      <c r="Q364">
        <v>1</v>
      </c>
      <c r="X364">
        <v>0.3</v>
      </c>
      <c r="Y364">
        <v>375.16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</v>
      </c>
      <c r="AG364">
        <v>0.3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ROW(Source!A526)</f>
        <v>526</v>
      </c>
      <c r="B365">
        <v>1471999226</v>
      </c>
      <c r="C365">
        <v>1471752088</v>
      </c>
      <c r="D365">
        <v>1441836235</v>
      </c>
      <c r="E365">
        <v>1</v>
      </c>
      <c r="F365">
        <v>1</v>
      </c>
      <c r="G365">
        <v>15514512</v>
      </c>
      <c r="H365">
        <v>3</v>
      </c>
      <c r="I365" t="s">
        <v>578</v>
      </c>
      <c r="J365" t="s">
        <v>579</v>
      </c>
      <c r="K365" t="s">
        <v>580</v>
      </c>
      <c r="L365">
        <v>1346</v>
      </c>
      <c r="N365">
        <v>1009</v>
      </c>
      <c r="O365" t="s">
        <v>577</v>
      </c>
      <c r="P365" t="s">
        <v>577</v>
      </c>
      <c r="Q365">
        <v>1</v>
      </c>
      <c r="X365">
        <v>0.09</v>
      </c>
      <c r="Y365">
        <v>31.49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</v>
      </c>
      <c r="AG365">
        <v>0.09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ROW(Source!A526)</f>
        <v>526</v>
      </c>
      <c r="B366">
        <v>1471999224</v>
      </c>
      <c r="C366">
        <v>1471752088</v>
      </c>
      <c r="D366">
        <v>1441822228</v>
      </c>
      <c r="E366">
        <v>15514512</v>
      </c>
      <c r="F366">
        <v>1</v>
      </c>
      <c r="G366">
        <v>15514512</v>
      </c>
      <c r="H366">
        <v>3</v>
      </c>
      <c r="I366" t="s">
        <v>624</v>
      </c>
      <c r="J366" t="s">
        <v>3</v>
      </c>
      <c r="K366" t="s">
        <v>626</v>
      </c>
      <c r="L366">
        <v>1346</v>
      </c>
      <c r="N366">
        <v>1009</v>
      </c>
      <c r="O366" t="s">
        <v>577</v>
      </c>
      <c r="P366" t="s">
        <v>577</v>
      </c>
      <c r="Q366">
        <v>1</v>
      </c>
      <c r="X366">
        <v>0.09</v>
      </c>
      <c r="Y366">
        <v>73.951729999999998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0.09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ROW(Source!A526)</f>
        <v>526</v>
      </c>
      <c r="B367">
        <v>1471999227</v>
      </c>
      <c r="C367">
        <v>1471752088</v>
      </c>
      <c r="D367">
        <v>1441834920</v>
      </c>
      <c r="E367">
        <v>1</v>
      </c>
      <c r="F367">
        <v>1</v>
      </c>
      <c r="G367">
        <v>15514512</v>
      </c>
      <c r="H367">
        <v>3</v>
      </c>
      <c r="I367" t="s">
        <v>678</v>
      </c>
      <c r="J367" t="s">
        <v>679</v>
      </c>
      <c r="K367" t="s">
        <v>680</v>
      </c>
      <c r="L367">
        <v>1346</v>
      </c>
      <c r="N367">
        <v>1009</v>
      </c>
      <c r="O367" t="s">
        <v>577</v>
      </c>
      <c r="P367" t="s">
        <v>577</v>
      </c>
      <c r="Q367">
        <v>1</v>
      </c>
      <c r="X367">
        <v>0.06</v>
      </c>
      <c r="Y367">
        <v>106.87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0.06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ROW(Source!A527)</f>
        <v>527</v>
      </c>
      <c r="B368">
        <v>1471999255</v>
      </c>
      <c r="C368">
        <v>1471752104</v>
      </c>
      <c r="D368">
        <v>1441819193</v>
      </c>
      <c r="E368">
        <v>15514512</v>
      </c>
      <c r="F368">
        <v>1</v>
      </c>
      <c r="G368">
        <v>15514512</v>
      </c>
      <c r="H368">
        <v>1</v>
      </c>
      <c r="I368" t="s">
        <v>563</v>
      </c>
      <c r="J368" t="s">
        <v>3</v>
      </c>
      <c r="K368" t="s">
        <v>564</v>
      </c>
      <c r="L368">
        <v>1191</v>
      </c>
      <c r="N368">
        <v>1013</v>
      </c>
      <c r="O368" t="s">
        <v>565</v>
      </c>
      <c r="P368" t="s">
        <v>565</v>
      </c>
      <c r="Q368">
        <v>1</v>
      </c>
      <c r="X368">
        <v>0.5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1</v>
      </c>
      <c r="AF368" t="s">
        <v>332</v>
      </c>
      <c r="AG368">
        <v>8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ROW(Source!A527)</f>
        <v>527</v>
      </c>
      <c r="B369">
        <v>1471999256</v>
      </c>
      <c r="C369">
        <v>1471752104</v>
      </c>
      <c r="D369">
        <v>1441822228</v>
      </c>
      <c r="E369">
        <v>15514512</v>
      </c>
      <c r="F369">
        <v>1</v>
      </c>
      <c r="G369">
        <v>15514512</v>
      </c>
      <c r="H369">
        <v>3</v>
      </c>
      <c r="I369" t="s">
        <v>624</v>
      </c>
      <c r="J369" t="s">
        <v>3</v>
      </c>
      <c r="K369" t="s">
        <v>626</v>
      </c>
      <c r="L369">
        <v>1346</v>
      </c>
      <c r="N369">
        <v>1009</v>
      </c>
      <c r="O369" t="s">
        <v>577</v>
      </c>
      <c r="P369" t="s">
        <v>577</v>
      </c>
      <c r="Q369">
        <v>1</v>
      </c>
      <c r="X369">
        <v>0.01</v>
      </c>
      <c r="Y369">
        <v>73.951729999999998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332</v>
      </c>
      <c r="AG369">
        <v>0.16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ROW(Source!A528)</f>
        <v>528</v>
      </c>
      <c r="B370">
        <v>1471999284</v>
      </c>
      <c r="C370">
        <v>1471752111</v>
      </c>
      <c r="D370">
        <v>1441819193</v>
      </c>
      <c r="E370">
        <v>15514512</v>
      </c>
      <c r="F370">
        <v>1</v>
      </c>
      <c r="G370">
        <v>15514512</v>
      </c>
      <c r="H370">
        <v>1</v>
      </c>
      <c r="I370" t="s">
        <v>563</v>
      </c>
      <c r="J370" t="s">
        <v>3</v>
      </c>
      <c r="K370" t="s">
        <v>564</v>
      </c>
      <c r="L370">
        <v>1191</v>
      </c>
      <c r="N370">
        <v>1013</v>
      </c>
      <c r="O370" t="s">
        <v>565</v>
      </c>
      <c r="P370" t="s">
        <v>565</v>
      </c>
      <c r="Q370">
        <v>1</v>
      </c>
      <c r="X370">
        <v>9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1</v>
      </c>
      <c r="AF370" t="s">
        <v>3</v>
      </c>
      <c r="AG370">
        <v>9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ROW(Source!A528)</f>
        <v>528</v>
      </c>
      <c r="B371">
        <v>1471999287</v>
      </c>
      <c r="C371">
        <v>1471752111</v>
      </c>
      <c r="D371">
        <v>1441836237</v>
      </c>
      <c r="E371">
        <v>1</v>
      </c>
      <c r="F371">
        <v>1</v>
      </c>
      <c r="G371">
        <v>15514512</v>
      </c>
      <c r="H371">
        <v>3</v>
      </c>
      <c r="I371" t="s">
        <v>675</v>
      </c>
      <c r="J371" t="s">
        <v>676</v>
      </c>
      <c r="K371" t="s">
        <v>677</v>
      </c>
      <c r="L371">
        <v>1346</v>
      </c>
      <c r="N371">
        <v>1009</v>
      </c>
      <c r="O371" t="s">
        <v>577</v>
      </c>
      <c r="P371" t="s">
        <v>577</v>
      </c>
      <c r="Q371">
        <v>1</v>
      </c>
      <c r="X371">
        <v>0.18</v>
      </c>
      <c r="Y371">
        <v>375.16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</v>
      </c>
      <c r="AG371">
        <v>0.18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ROW(Source!A528)</f>
        <v>528</v>
      </c>
      <c r="B372">
        <v>1471999288</v>
      </c>
      <c r="C372">
        <v>1471752111</v>
      </c>
      <c r="D372">
        <v>1441836235</v>
      </c>
      <c r="E372">
        <v>1</v>
      </c>
      <c r="F372">
        <v>1</v>
      </c>
      <c r="G372">
        <v>15514512</v>
      </c>
      <c r="H372">
        <v>3</v>
      </c>
      <c r="I372" t="s">
        <v>578</v>
      </c>
      <c r="J372" t="s">
        <v>579</v>
      </c>
      <c r="K372" t="s">
        <v>580</v>
      </c>
      <c r="L372">
        <v>1346</v>
      </c>
      <c r="N372">
        <v>1009</v>
      </c>
      <c r="O372" t="s">
        <v>577</v>
      </c>
      <c r="P372" t="s">
        <v>577</v>
      </c>
      <c r="Q372">
        <v>1</v>
      </c>
      <c r="X372">
        <v>0.05</v>
      </c>
      <c r="Y372">
        <v>31.49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0.05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ROW(Source!A528)</f>
        <v>528</v>
      </c>
      <c r="B373">
        <v>1471999285</v>
      </c>
      <c r="C373">
        <v>1471752111</v>
      </c>
      <c r="D373">
        <v>1441822228</v>
      </c>
      <c r="E373">
        <v>15514512</v>
      </c>
      <c r="F373">
        <v>1</v>
      </c>
      <c r="G373">
        <v>15514512</v>
      </c>
      <c r="H373">
        <v>3</v>
      </c>
      <c r="I373" t="s">
        <v>624</v>
      </c>
      <c r="J373" t="s">
        <v>3</v>
      </c>
      <c r="K373" t="s">
        <v>626</v>
      </c>
      <c r="L373">
        <v>1346</v>
      </c>
      <c r="N373">
        <v>1009</v>
      </c>
      <c r="O373" t="s">
        <v>577</v>
      </c>
      <c r="P373" t="s">
        <v>577</v>
      </c>
      <c r="Q373">
        <v>1</v>
      </c>
      <c r="X373">
        <v>0.05</v>
      </c>
      <c r="Y373">
        <v>73.951729999999998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0.05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ROW(Source!A528)</f>
        <v>528</v>
      </c>
      <c r="B374">
        <v>1471999290</v>
      </c>
      <c r="C374">
        <v>1471752111</v>
      </c>
      <c r="D374">
        <v>1441834920</v>
      </c>
      <c r="E374">
        <v>1</v>
      </c>
      <c r="F374">
        <v>1</v>
      </c>
      <c r="G374">
        <v>15514512</v>
      </c>
      <c r="H374">
        <v>3</v>
      </c>
      <c r="I374" t="s">
        <v>678</v>
      </c>
      <c r="J374" t="s">
        <v>679</v>
      </c>
      <c r="K374" t="s">
        <v>680</v>
      </c>
      <c r="L374">
        <v>1346</v>
      </c>
      <c r="N374">
        <v>1009</v>
      </c>
      <c r="O374" t="s">
        <v>577</v>
      </c>
      <c r="P374" t="s">
        <v>577</v>
      </c>
      <c r="Q374">
        <v>1</v>
      </c>
      <c r="X374">
        <v>0.04</v>
      </c>
      <c r="Y374">
        <v>106.87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0.04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ROW(Source!A529)</f>
        <v>529</v>
      </c>
      <c r="B375">
        <v>1471999318</v>
      </c>
      <c r="C375">
        <v>1471752127</v>
      </c>
      <c r="D375">
        <v>1441819193</v>
      </c>
      <c r="E375">
        <v>15514512</v>
      </c>
      <c r="F375">
        <v>1</v>
      </c>
      <c r="G375">
        <v>15514512</v>
      </c>
      <c r="H375">
        <v>1</v>
      </c>
      <c r="I375" t="s">
        <v>563</v>
      </c>
      <c r="J375" t="s">
        <v>3</v>
      </c>
      <c r="K375" t="s">
        <v>564</v>
      </c>
      <c r="L375">
        <v>1191</v>
      </c>
      <c r="N375">
        <v>1013</v>
      </c>
      <c r="O375" t="s">
        <v>565</v>
      </c>
      <c r="P375" t="s">
        <v>565</v>
      </c>
      <c r="Q375">
        <v>1</v>
      </c>
      <c r="X375">
        <v>0.3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1</v>
      </c>
      <c r="AF375" t="s">
        <v>332</v>
      </c>
      <c r="AG375">
        <v>4.8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ROW(Source!A530)</f>
        <v>530</v>
      </c>
      <c r="B376">
        <v>1471999341</v>
      </c>
      <c r="C376">
        <v>1471752131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563</v>
      </c>
      <c r="J376" t="s">
        <v>3</v>
      </c>
      <c r="K376" t="s">
        <v>564</v>
      </c>
      <c r="L376">
        <v>1191</v>
      </c>
      <c r="N376">
        <v>1013</v>
      </c>
      <c r="O376" t="s">
        <v>565</v>
      </c>
      <c r="P376" t="s">
        <v>565</v>
      </c>
      <c r="Q376">
        <v>1</v>
      </c>
      <c r="X376">
        <v>0.6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1</v>
      </c>
      <c r="AF376" t="s">
        <v>3</v>
      </c>
      <c r="AG376">
        <v>0.6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ROW(Source!A530)</f>
        <v>530</v>
      </c>
      <c r="B377">
        <v>1471999342</v>
      </c>
      <c r="C377">
        <v>1471752131</v>
      </c>
      <c r="D377">
        <v>1441836235</v>
      </c>
      <c r="E377">
        <v>1</v>
      </c>
      <c r="F377">
        <v>1</v>
      </c>
      <c r="G377">
        <v>15514512</v>
      </c>
      <c r="H377">
        <v>3</v>
      </c>
      <c r="I377" t="s">
        <v>578</v>
      </c>
      <c r="J377" t="s">
        <v>579</v>
      </c>
      <c r="K377" t="s">
        <v>580</v>
      </c>
      <c r="L377">
        <v>1346</v>
      </c>
      <c r="N377">
        <v>1009</v>
      </c>
      <c r="O377" t="s">
        <v>577</v>
      </c>
      <c r="P377" t="s">
        <v>577</v>
      </c>
      <c r="Q377">
        <v>1</v>
      </c>
      <c r="X377">
        <v>0.05</v>
      </c>
      <c r="Y377">
        <v>31.49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3</v>
      </c>
      <c r="AG377">
        <v>0.05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ROW(Source!A531)</f>
        <v>531</v>
      </c>
      <c r="B378">
        <v>1471999372</v>
      </c>
      <c r="C378">
        <v>1471752138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563</v>
      </c>
      <c r="J378" t="s">
        <v>3</v>
      </c>
      <c r="K378" t="s">
        <v>564</v>
      </c>
      <c r="L378">
        <v>1191</v>
      </c>
      <c r="N378">
        <v>1013</v>
      </c>
      <c r="O378" t="s">
        <v>565</v>
      </c>
      <c r="P378" t="s">
        <v>565</v>
      </c>
      <c r="Q378">
        <v>1</v>
      </c>
      <c r="X378">
        <v>0.14000000000000001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25</v>
      </c>
      <c r="AG378">
        <v>0.56000000000000005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ROW(Source!A532)</f>
        <v>532</v>
      </c>
      <c r="B379">
        <v>1471999394</v>
      </c>
      <c r="C379">
        <v>1471752142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563</v>
      </c>
      <c r="J379" t="s">
        <v>3</v>
      </c>
      <c r="K379" t="s">
        <v>564</v>
      </c>
      <c r="L379">
        <v>1191</v>
      </c>
      <c r="N379">
        <v>1013</v>
      </c>
      <c r="O379" t="s">
        <v>565</v>
      </c>
      <c r="P379" t="s">
        <v>565</v>
      </c>
      <c r="Q379">
        <v>1</v>
      </c>
      <c r="X379">
        <v>0.08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357</v>
      </c>
      <c r="AG379">
        <v>9.44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ROW(Source!A602)</f>
        <v>602</v>
      </c>
      <c r="B380">
        <v>1471999426</v>
      </c>
      <c r="C380">
        <v>1471752146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563</v>
      </c>
      <c r="J380" t="s">
        <v>3</v>
      </c>
      <c r="K380" t="s">
        <v>564</v>
      </c>
      <c r="L380">
        <v>1191</v>
      </c>
      <c r="N380">
        <v>1013</v>
      </c>
      <c r="O380" t="s">
        <v>565</v>
      </c>
      <c r="P380" t="s">
        <v>565</v>
      </c>
      <c r="Q380">
        <v>1</v>
      </c>
      <c r="X380">
        <v>1.06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1</v>
      </c>
      <c r="AF380" t="s">
        <v>117</v>
      </c>
      <c r="AG380">
        <v>2.12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ROW(Source!A603)</f>
        <v>603</v>
      </c>
      <c r="B381">
        <v>1471999448</v>
      </c>
      <c r="C381">
        <v>1471752150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563</v>
      </c>
      <c r="J381" t="s">
        <v>3</v>
      </c>
      <c r="K381" t="s">
        <v>564</v>
      </c>
      <c r="L381">
        <v>1191</v>
      </c>
      <c r="N381">
        <v>1013</v>
      </c>
      <c r="O381" t="s">
        <v>565</v>
      </c>
      <c r="P381" t="s">
        <v>565</v>
      </c>
      <c r="Q381">
        <v>1</v>
      </c>
      <c r="X381">
        <v>0.8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117</v>
      </c>
      <c r="AG381">
        <v>1.6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ROW(Source!A604)</f>
        <v>604</v>
      </c>
      <c r="B382">
        <v>1471999472</v>
      </c>
      <c r="C382">
        <v>1471752154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563</v>
      </c>
      <c r="J382" t="s">
        <v>3</v>
      </c>
      <c r="K382" t="s">
        <v>564</v>
      </c>
      <c r="L382">
        <v>1191</v>
      </c>
      <c r="N382">
        <v>1013</v>
      </c>
      <c r="O382" t="s">
        <v>565</v>
      </c>
      <c r="P382" t="s">
        <v>565</v>
      </c>
      <c r="Q382">
        <v>1</v>
      </c>
      <c r="X382">
        <v>3.02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117</v>
      </c>
      <c r="AG382">
        <v>6.04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ROW(Source!A604)</f>
        <v>604</v>
      </c>
      <c r="B383">
        <v>1471999473</v>
      </c>
      <c r="C383">
        <v>1471752154</v>
      </c>
      <c r="D383">
        <v>1441836187</v>
      </c>
      <c r="E383">
        <v>1</v>
      </c>
      <c r="F383">
        <v>1</v>
      </c>
      <c r="G383">
        <v>15514512</v>
      </c>
      <c r="H383">
        <v>3</v>
      </c>
      <c r="I383" t="s">
        <v>617</v>
      </c>
      <c r="J383" t="s">
        <v>618</v>
      </c>
      <c r="K383" t="s">
        <v>619</v>
      </c>
      <c r="L383">
        <v>1346</v>
      </c>
      <c r="N383">
        <v>1009</v>
      </c>
      <c r="O383" t="s">
        <v>577</v>
      </c>
      <c r="P383" t="s">
        <v>577</v>
      </c>
      <c r="Q383">
        <v>1</v>
      </c>
      <c r="X383">
        <v>8.0000000000000002E-3</v>
      </c>
      <c r="Y383">
        <v>424.66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117</v>
      </c>
      <c r="AG383">
        <v>1.6E-2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ROW(Source!A604)</f>
        <v>604</v>
      </c>
      <c r="B384">
        <v>1471999474</v>
      </c>
      <c r="C384">
        <v>1471752154</v>
      </c>
      <c r="D384">
        <v>1441836235</v>
      </c>
      <c r="E384">
        <v>1</v>
      </c>
      <c r="F384">
        <v>1</v>
      </c>
      <c r="G384">
        <v>15514512</v>
      </c>
      <c r="H384">
        <v>3</v>
      </c>
      <c r="I384" t="s">
        <v>578</v>
      </c>
      <c r="J384" t="s">
        <v>579</v>
      </c>
      <c r="K384" t="s">
        <v>580</v>
      </c>
      <c r="L384">
        <v>1346</v>
      </c>
      <c r="N384">
        <v>1009</v>
      </c>
      <c r="O384" t="s">
        <v>577</v>
      </c>
      <c r="P384" t="s">
        <v>577</v>
      </c>
      <c r="Q384">
        <v>1</v>
      </c>
      <c r="X384">
        <v>0.05</v>
      </c>
      <c r="Y384">
        <v>31.49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117</v>
      </c>
      <c r="AG384">
        <v>0.1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ROW(Source!A605)</f>
        <v>605</v>
      </c>
      <c r="B385">
        <v>1471999498</v>
      </c>
      <c r="C385">
        <v>1471752164</v>
      </c>
      <c r="D385">
        <v>1441819193</v>
      </c>
      <c r="E385">
        <v>15514512</v>
      </c>
      <c r="F385">
        <v>1</v>
      </c>
      <c r="G385">
        <v>15514512</v>
      </c>
      <c r="H385">
        <v>1</v>
      </c>
      <c r="I385" t="s">
        <v>563</v>
      </c>
      <c r="J385" t="s">
        <v>3</v>
      </c>
      <c r="K385" t="s">
        <v>564</v>
      </c>
      <c r="L385">
        <v>1191</v>
      </c>
      <c r="N385">
        <v>1013</v>
      </c>
      <c r="O385" t="s">
        <v>565</v>
      </c>
      <c r="P385" t="s">
        <v>565</v>
      </c>
      <c r="Q385">
        <v>1</v>
      </c>
      <c r="X385">
        <v>2.88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1</v>
      </c>
      <c r="AF385" t="s">
        <v>117</v>
      </c>
      <c r="AG385">
        <v>5.76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ROW(Source!A605)</f>
        <v>605</v>
      </c>
      <c r="B386">
        <v>1471999499</v>
      </c>
      <c r="C386">
        <v>1471752164</v>
      </c>
      <c r="D386">
        <v>1441836187</v>
      </c>
      <c r="E386">
        <v>1</v>
      </c>
      <c r="F386">
        <v>1</v>
      </c>
      <c r="G386">
        <v>15514512</v>
      </c>
      <c r="H386">
        <v>3</v>
      </c>
      <c r="I386" t="s">
        <v>617</v>
      </c>
      <c r="J386" t="s">
        <v>618</v>
      </c>
      <c r="K386" t="s">
        <v>619</v>
      </c>
      <c r="L386">
        <v>1346</v>
      </c>
      <c r="N386">
        <v>1009</v>
      </c>
      <c r="O386" t="s">
        <v>577</v>
      </c>
      <c r="P386" t="s">
        <v>577</v>
      </c>
      <c r="Q386">
        <v>1</v>
      </c>
      <c r="X386">
        <v>8.0000000000000002E-3</v>
      </c>
      <c r="Y386">
        <v>424.66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117</v>
      </c>
      <c r="AG386">
        <v>1.6E-2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ROW(Source!A605)</f>
        <v>605</v>
      </c>
      <c r="B387">
        <v>1471999500</v>
      </c>
      <c r="C387">
        <v>1471752164</v>
      </c>
      <c r="D387">
        <v>1441836235</v>
      </c>
      <c r="E387">
        <v>1</v>
      </c>
      <c r="F387">
        <v>1</v>
      </c>
      <c r="G387">
        <v>15514512</v>
      </c>
      <c r="H387">
        <v>3</v>
      </c>
      <c r="I387" t="s">
        <v>578</v>
      </c>
      <c r="J387" t="s">
        <v>579</v>
      </c>
      <c r="K387" t="s">
        <v>580</v>
      </c>
      <c r="L387">
        <v>1346</v>
      </c>
      <c r="N387">
        <v>1009</v>
      </c>
      <c r="O387" t="s">
        <v>577</v>
      </c>
      <c r="P387" t="s">
        <v>577</v>
      </c>
      <c r="Q387">
        <v>1</v>
      </c>
      <c r="X387">
        <v>0.05</v>
      </c>
      <c r="Y387">
        <v>31.49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117</v>
      </c>
      <c r="AG387">
        <v>0.1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ROW(Source!A606)</f>
        <v>606</v>
      </c>
      <c r="B388">
        <v>1471999529</v>
      </c>
      <c r="C388">
        <v>1471752174</v>
      </c>
      <c r="D388">
        <v>1441819193</v>
      </c>
      <c r="E388">
        <v>15514512</v>
      </c>
      <c r="F388">
        <v>1</v>
      </c>
      <c r="G388">
        <v>15514512</v>
      </c>
      <c r="H388">
        <v>1</v>
      </c>
      <c r="I388" t="s">
        <v>563</v>
      </c>
      <c r="J388" t="s">
        <v>3</v>
      </c>
      <c r="K388" t="s">
        <v>564</v>
      </c>
      <c r="L388">
        <v>1191</v>
      </c>
      <c r="N388">
        <v>1013</v>
      </c>
      <c r="O388" t="s">
        <v>565</v>
      </c>
      <c r="P388" t="s">
        <v>565</v>
      </c>
      <c r="Q388">
        <v>1</v>
      </c>
      <c r="X388">
        <v>3.07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1</v>
      </c>
      <c r="AF388" t="s">
        <v>117</v>
      </c>
      <c r="AG388">
        <v>6.14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ROW(Source!A606)</f>
        <v>606</v>
      </c>
      <c r="B389">
        <v>1471999530</v>
      </c>
      <c r="C389">
        <v>1471752174</v>
      </c>
      <c r="D389">
        <v>1441836187</v>
      </c>
      <c r="E389">
        <v>1</v>
      </c>
      <c r="F389">
        <v>1</v>
      </c>
      <c r="G389">
        <v>15514512</v>
      </c>
      <c r="H389">
        <v>3</v>
      </c>
      <c r="I389" t="s">
        <v>617</v>
      </c>
      <c r="J389" t="s">
        <v>618</v>
      </c>
      <c r="K389" t="s">
        <v>619</v>
      </c>
      <c r="L389">
        <v>1346</v>
      </c>
      <c r="N389">
        <v>1009</v>
      </c>
      <c r="O389" t="s">
        <v>577</v>
      </c>
      <c r="P389" t="s">
        <v>577</v>
      </c>
      <c r="Q389">
        <v>1</v>
      </c>
      <c r="X389">
        <v>8.0000000000000002E-3</v>
      </c>
      <c r="Y389">
        <v>424.66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117</v>
      </c>
      <c r="AG389">
        <v>1.6E-2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ROW(Source!A606)</f>
        <v>606</v>
      </c>
      <c r="B390">
        <v>1471999531</v>
      </c>
      <c r="C390">
        <v>1471752174</v>
      </c>
      <c r="D390">
        <v>1441836235</v>
      </c>
      <c r="E390">
        <v>1</v>
      </c>
      <c r="F390">
        <v>1</v>
      </c>
      <c r="G390">
        <v>15514512</v>
      </c>
      <c r="H390">
        <v>3</v>
      </c>
      <c r="I390" t="s">
        <v>578</v>
      </c>
      <c r="J390" t="s">
        <v>579</v>
      </c>
      <c r="K390" t="s">
        <v>580</v>
      </c>
      <c r="L390">
        <v>1346</v>
      </c>
      <c r="N390">
        <v>1009</v>
      </c>
      <c r="O390" t="s">
        <v>577</v>
      </c>
      <c r="P390" t="s">
        <v>577</v>
      </c>
      <c r="Q390">
        <v>1</v>
      </c>
      <c r="X390">
        <v>0.05</v>
      </c>
      <c r="Y390">
        <v>31.49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0</v>
      </c>
      <c r="AF390" t="s">
        <v>117</v>
      </c>
      <c r="AG390">
        <v>0.1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ROW(Source!A642)</f>
        <v>642</v>
      </c>
      <c r="B391">
        <v>1471999561</v>
      </c>
      <c r="C391">
        <v>1471752184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563</v>
      </c>
      <c r="J391" t="s">
        <v>3</v>
      </c>
      <c r="K391" t="s">
        <v>564</v>
      </c>
      <c r="L391">
        <v>1191</v>
      </c>
      <c r="N391">
        <v>1013</v>
      </c>
      <c r="O391" t="s">
        <v>565</v>
      </c>
      <c r="P391" t="s">
        <v>565</v>
      </c>
      <c r="Q391">
        <v>1</v>
      </c>
      <c r="X391">
        <v>1.06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 t="s">
        <v>117</v>
      </c>
      <c r="AG391">
        <v>2.12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ROW(Source!A643)</f>
        <v>643</v>
      </c>
      <c r="B392">
        <v>1471999580</v>
      </c>
      <c r="C392">
        <v>1471752188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563</v>
      </c>
      <c r="J392" t="s">
        <v>3</v>
      </c>
      <c r="K392" t="s">
        <v>564</v>
      </c>
      <c r="L392">
        <v>1191</v>
      </c>
      <c r="N392">
        <v>1013</v>
      </c>
      <c r="O392" t="s">
        <v>565</v>
      </c>
      <c r="P392" t="s">
        <v>565</v>
      </c>
      <c r="Q392">
        <v>1</v>
      </c>
      <c r="X392">
        <v>2.4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1</v>
      </c>
      <c r="AF392" t="s">
        <v>3</v>
      </c>
      <c r="AG392">
        <v>2.4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ROW(Source!A643)</f>
        <v>643</v>
      </c>
      <c r="B393">
        <v>1471999581</v>
      </c>
      <c r="C393">
        <v>1471752188</v>
      </c>
      <c r="D393">
        <v>1441836235</v>
      </c>
      <c r="E393">
        <v>1</v>
      </c>
      <c r="F393">
        <v>1</v>
      </c>
      <c r="G393">
        <v>15514512</v>
      </c>
      <c r="H393">
        <v>3</v>
      </c>
      <c r="I393" t="s">
        <v>578</v>
      </c>
      <c r="J393" t="s">
        <v>579</v>
      </c>
      <c r="K393" t="s">
        <v>580</v>
      </c>
      <c r="L393">
        <v>1346</v>
      </c>
      <c r="N393">
        <v>1009</v>
      </c>
      <c r="O393" t="s">
        <v>577</v>
      </c>
      <c r="P393" t="s">
        <v>577</v>
      </c>
      <c r="Q393">
        <v>1</v>
      </c>
      <c r="X393">
        <v>0.5</v>
      </c>
      <c r="Y393">
        <v>31.49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3</v>
      </c>
      <c r="AG393">
        <v>0.5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ROW(Source!A643)</f>
        <v>643</v>
      </c>
      <c r="B394">
        <v>1471999582</v>
      </c>
      <c r="C394">
        <v>1471752188</v>
      </c>
      <c r="D394">
        <v>1441834658</v>
      </c>
      <c r="E394">
        <v>1</v>
      </c>
      <c r="F394">
        <v>1</v>
      </c>
      <c r="G394">
        <v>15514512</v>
      </c>
      <c r="H394">
        <v>3</v>
      </c>
      <c r="I394" t="s">
        <v>687</v>
      </c>
      <c r="J394" t="s">
        <v>688</v>
      </c>
      <c r="K394" t="s">
        <v>689</v>
      </c>
      <c r="L394">
        <v>1348</v>
      </c>
      <c r="N394">
        <v>1009</v>
      </c>
      <c r="O394" t="s">
        <v>569</v>
      </c>
      <c r="P394" t="s">
        <v>569</v>
      </c>
      <c r="Q394">
        <v>1000</v>
      </c>
      <c r="X394">
        <v>3.4000000000000002E-4</v>
      </c>
      <c r="Y394">
        <v>190945.35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</v>
      </c>
      <c r="AF394" t="s">
        <v>3</v>
      </c>
      <c r="AG394">
        <v>3.4000000000000002E-4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ROW(Source!A644)</f>
        <v>644</v>
      </c>
      <c r="B395">
        <v>1471999599</v>
      </c>
      <c r="C395">
        <v>1471752198</v>
      </c>
      <c r="D395">
        <v>1441819193</v>
      </c>
      <c r="E395">
        <v>15514512</v>
      </c>
      <c r="F395">
        <v>1</v>
      </c>
      <c r="G395">
        <v>15514512</v>
      </c>
      <c r="H395">
        <v>1</v>
      </c>
      <c r="I395" t="s">
        <v>563</v>
      </c>
      <c r="J395" t="s">
        <v>3</v>
      </c>
      <c r="K395" t="s">
        <v>564</v>
      </c>
      <c r="L395">
        <v>1191</v>
      </c>
      <c r="N395">
        <v>1013</v>
      </c>
      <c r="O395" t="s">
        <v>565</v>
      </c>
      <c r="P395" t="s">
        <v>565</v>
      </c>
      <c r="Q395">
        <v>1</v>
      </c>
      <c r="X395">
        <v>0.72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1</v>
      </c>
      <c r="AF395" t="s">
        <v>117</v>
      </c>
      <c r="AG395">
        <v>1.44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ROW(Source!A644)</f>
        <v>644</v>
      </c>
      <c r="B396">
        <v>1471999600</v>
      </c>
      <c r="C396">
        <v>1471752198</v>
      </c>
      <c r="D396">
        <v>1441836187</v>
      </c>
      <c r="E396">
        <v>1</v>
      </c>
      <c r="F396">
        <v>1</v>
      </c>
      <c r="G396">
        <v>15514512</v>
      </c>
      <c r="H396">
        <v>3</v>
      </c>
      <c r="I396" t="s">
        <v>617</v>
      </c>
      <c r="J396" t="s">
        <v>618</v>
      </c>
      <c r="K396" t="s">
        <v>619</v>
      </c>
      <c r="L396">
        <v>1346</v>
      </c>
      <c r="N396">
        <v>1009</v>
      </c>
      <c r="O396" t="s">
        <v>577</v>
      </c>
      <c r="P396" t="s">
        <v>577</v>
      </c>
      <c r="Q396">
        <v>1</v>
      </c>
      <c r="X396">
        <v>5.0000000000000001E-4</v>
      </c>
      <c r="Y396">
        <v>424.66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117</v>
      </c>
      <c r="AG396">
        <v>1E-3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ROW(Source!A644)</f>
        <v>644</v>
      </c>
      <c r="B397">
        <v>1471999601</v>
      </c>
      <c r="C397">
        <v>1471752198</v>
      </c>
      <c r="D397">
        <v>1441836230</v>
      </c>
      <c r="E397">
        <v>1</v>
      </c>
      <c r="F397">
        <v>1</v>
      </c>
      <c r="G397">
        <v>15514512</v>
      </c>
      <c r="H397">
        <v>3</v>
      </c>
      <c r="I397" t="s">
        <v>690</v>
      </c>
      <c r="J397" t="s">
        <v>691</v>
      </c>
      <c r="K397" t="s">
        <v>692</v>
      </c>
      <c r="L397">
        <v>1327</v>
      </c>
      <c r="N397">
        <v>1005</v>
      </c>
      <c r="O397" t="s">
        <v>659</v>
      </c>
      <c r="P397" t="s">
        <v>659</v>
      </c>
      <c r="Q397">
        <v>1</v>
      </c>
      <c r="X397">
        <v>0.05</v>
      </c>
      <c r="Y397">
        <v>46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117</v>
      </c>
      <c r="AG397">
        <v>0.1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ROW(Source!A644)</f>
        <v>644</v>
      </c>
      <c r="B398">
        <v>1471999602</v>
      </c>
      <c r="C398">
        <v>1471752198</v>
      </c>
      <c r="D398">
        <v>1441836235</v>
      </c>
      <c r="E398">
        <v>1</v>
      </c>
      <c r="F398">
        <v>1</v>
      </c>
      <c r="G398">
        <v>15514512</v>
      </c>
      <c r="H398">
        <v>3</v>
      </c>
      <c r="I398" t="s">
        <v>578</v>
      </c>
      <c r="J398" t="s">
        <v>579</v>
      </c>
      <c r="K398" t="s">
        <v>580</v>
      </c>
      <c r="L398">
        <v>1346</v>
      </c>
      <c r="N398">
        <v>1009</v>
      </c>
      <c r="O398" t="s">
        <v>577</v>
      </c>
      <c r="P398" t="s">
        <v>577</v>
      </c>
      <c r="Q398">
        <v>1</v>
      </c>
      <c r="X398">
        <v>0.05</v>
      </c>
      <c r="Y398">
        <v>31.49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117</v>
      </c>
      <c r="AG398">
        <v>0.1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ROW(Source!A645)</f>
        <v>645</v>
      </c>
      <c r="B399">
        <v>1471999628</v>
      </c>
      <c r="C399">
        <v>1471752211</v>
      </c>
      <c r="D399">
        <v>1441819193</v>
      </c>
      <c r="E399">
        <v>15514512</v>
      </c>
      <c r="F399">
        <v>1</v>
      </c>
      <c r="G399">
        <v>15514512</v>
      </c>
      <c r="H399">
        <v>1</v>
      </c>
      <c r="I399" t="s">
        <v>563</v>
      </c>
      <c r="J399" t="s">
        <v>3</v>
      </c>
      <c r="K399" t="s">
        <v>564</v>
      </c>
      <c r="L399">
        <v>1191</v>
      </c>
      <c r="N399">
        <v>1013</v>
      </c>
      <c r="O399" t="s">
        <v>565</v>
      </c>
      <c r="P399" t="s">
        <v>565</v>
      </c>
      <c r="Q399">
        <v>1</v>
      </c>
      <c r="X399">
        <v>0.2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1</v>
      </c>
      <c r="AF399" t="s">
        <v>117</v>
      </c>
      <c r="AG399">
        <v>0.4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ROW(Source!A645)</f>
        <v>645</v>
      </c>
      <c r="B400">
        <v>1471999629</v>
      </c>
      <c r="C400">
        <v>1471752211</v>
      </c>
      <c r="D400">
        <v>1441836230</v>
      </c>
      <c r="E400">
        <v>1</v>
      </c>
      <c r="F400">
        <v>1</v>
      </c>
      <c r="G400">
        <v>15514512</v>
      </c>
      <c r="H400">
        <v>3</v>
      </c>
      <c r="I400" t="s">
        <v>690</v>
      </c>
      <c r="J400" t="s">
        <v>691</v>
      </c>
      <c r="K400" t="s">
        <v>692</v>
      </c>
      <c r="L400">
        <v>1327</v>
      </c>
      <c r="N400">
        <v>1005</v>
      </c>
      <c r="O400" t="s">
        <v>659</v>
      </c>
      <c r="P400" t="s">
        <v>659</v>
      </c>
      <c r="Q400">
        <v>1</v>
      </c>
      <c r="X400">
        <v>0.1</v>
      </c>
      <c r="Y400">
        <v>46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117</v>
      </c>
      <c r="AG400">
        <v>0.2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ROW(Source!A645)</f>
        <v>645</v>
      </c>
      <c r="B401">
        <v>1471999630</v>
      </c>
      <c r="C401">
        <v>1471752211</v>
      </c>
      <c r="D401">
        <v>1441836235</v>
      </c>
      <c r="E401">
        <v>1</v>
      </c>
      <c r="F401">
        <v>1</v>
      </c>
      <c r="G401">
        <v>15514512</v>
      </c>
      <c r="H401">
        <v>3</v>
      </c>
      <c r="I401" t="s">
        <v>578</v>
      </c>
      <c r="J401" t="s">
        <v>579</v>
      </c>
      <c r="K401" t="s">
        <v>580</v>
      </c>
      <c r="L401">
        <v>1346</v>
      </c>
      <c r="N401">
        <v>1009</v>
      </c>
      <c r="O401" t="s">
        <v>577</v>
      </c>
      <c r="P401" t="s">
        <v>577</v>
      </c>
      <c r="Q401">
        <v>1</v>
      </c>
      <c r="X401">
        <v>0.1</v>
      </c>
      <c r="Y401">
        <v>31.49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117</v>
      </c>
      <c r="AG401">
        <v>0.2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ROW(Source!A646)</f>
        <v>646</v>
      </c>
      <c r="B402">
        <v>1471999652</v>
      </c>
      <c r="C402">
        <v>1471752221</v>
      </c>
      <c r="D402">
        <v>1441819193</v>
      </c>
      <c r="E402">
        <v>15514512</v>
      </c>
      <c r="F402">
        <v>1</v>
      </c>
      <c r="G402">
        <v>15514512</v>
      </c>
      <c r="H402">
        <v>1</v>
      </c>
      <c r="I402" t="s">
        <v>563</v>
      </c>
      <c r="J402" t="s">
        <v>3</v>
      </c>
      <c r="K402" t="s">
        <v>564</v>
      </c>
      <c r="L402">
        <v>1191</v>
      </c>
      <c r="N402">
        <v>1013</v>
      </c>
      <c r="O402" t="s">
        <v>565</v>
      </c>
      <c r="P402" t="s">
        <v>565</v>
      </c>
      <c r="Q402">
        <v>1</v>
      </c>
      <c r="X402">
        <v>3.72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1</v>
      </c>
      <c r="AF402" t="s">
        <v>117</v>
      </c>
      <c r="AG402">
        <v>7.44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ROW(Source!A646)</f>
        <v>646</v>
      </c>
      <c r="B403">
        <v>1471999653</v>
      </c>
      <c r="C403">
        <v>1471752221</v>
      </c>
      <c r="D403">
        <v>1441836187</v>
      </c>
      <c r="E403">
        <v>1</v>
      </c>
      <c r="F403">
        <v>1</v>
      </c>
      <c r="G403">
        <v>15514512</v>
      </c>
      <c r="H403">
        <v>3</v>
      </c>
      <c r="I403" t="s">
        <v>617</v>
      </c>
      <c r="J403" t="s">
        <v>618</v>
      </c>
      <c r="K403" t="s">
        <v>619</v>
      </c>
      <c r="L403">
        <v>1346</v>
      </c>
      <c r="N403">
        <v>1009</v>
      </c>
      <c r="O403" t="s">
        <v>577</v>
      </c>
      <c r="P403" t="s">
        <v>577</v>
      </c>
      <c r="Q403">
        <v>1</v>
      </c>
      <c r="X403">
        <v>8.0000000000000002E-3</v>
      </c>
      <c r="Y403">
        <v>424.66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117</v>
      </c>
      <c r="AG403">
        <v>1.6E-2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ROW(Source!A646)</f>
        <v>646</v>
      </c>
      <c r="B404">
        <v>1471999654</v>
      </c>
      <c r="C404">
        <v>1471752221</v>
      </c>
      <c r="D404">
        <v>1441836235</v>
      </c>
      <c r="E404">
        <v>1</v>
      </c>
      <c r="F404">
        <v>1</v>
      </c>
      <c r="G404">
        <v>15514512</v>
      </c>
      <c r="H404">
        <v>3</v>
      </c>
      <c r="I404" t="s">
        <v>578</v>
      </c>
      <c r="J404" t="s">
        <v>579</v>
      </c>
      <c r="K404" t="s">
        <v>580</v>
      </c>
      <c r="L404">
        <v>1346</v>
      </c>
      <c r="N404">
        <v>1009</v>
      </c>
      <c r="O404" t="s">
        <v>577</v>
      </c>
      <c r="P404" t="s">
        <v>577</v>
      </c>
      <c r="Q404">
        <v>1</v>
      </c>
      <c r="X404">
        <v>0.05</v>
      </c>
      <c r="Y404">
        <v>31.49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117</v>
      </c>
      <c r="AG404">
        <v>0.1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ROW(Source!A647)</f>
        <v>647</v>
      </c>
      <c r="B405">
        <v>1471999688</v>
      </c>
      <c r="C405">
        <v>1471752231</v>
      </c>
      <c r="D405">
        <v>1441819193</v>
      </c>
      <c r="E405">
        <v>15514512</v>
      </c>
      <c r="F405">
        <v>1</v>
      </c>
      <c r="G405">
        <v>15514512</v>
      </c>
      <c r="H405">
        <v>1</v>
      </c>
      <c r="I405" t="s">
        <v>563</v>
      </c>
      <c r="J405" t="s">
        <v>3</v>
      </c>
      <c r="K405" t="s">
        <v>564</v>
      </c>
      <c r="L405">
        <v>1191</v>
      </c>
      <c r="N405">
        <v>1013</v>
      </c>
      <c r="O405" t="s">
        <v>565</v>
      </c>
      <c r="P405" t="s">
        <v>565</v>
      </c>
      <c r="Q405">
        <v>1</v>
      </c>
      <c r="X405">
        <v>3.02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1</v>
      </c>
      <c r="AF405" t="s">
        <v>117</v>
      </c>
      <c r="AG405">
        <v>6.04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ROW(Source!A647)</f>
        <v>647</v>
      </c>
      <c r="B406">
        <v>1471999689</v>
      </c>
      <c r="C406">
        <v>1471752231</v>
      </c>
      <c r="D406">
        <v>1441836187</v>
      </c>
      <c r="E406">
        <v>1</v>
      </c>
      <c r="F406">
        <v>1</v>
      </c>
      <c r="G406">
        <v>15514512</v>
      </c>
      <c r="H406">
        <v>3</v>
      </c>
      <c r="I406" t="s">
        <v>617</v>
      </c>
      <c r="J406" t="s">
        <v>618</v>
      </c>
      <c r="K406" t="s">
        <v>619</v>
      </c>
      <c r="L406">
        <v>1346</v>
      </c>
      <c r="N406">
        <v>1009</v>
      </c>
      <c r="O406" t="s">
        <v>577</v>
      </c>
      <c r="P406" t="s">
        <v>577</v>
      </c>
      <c r="Q406">
        <v>1</v>
      </c>
      <c r="X406">
        <v>8.0000000000000002E-3</v>
      </c>
      <c r="Y406">
        <v>424.66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117</v>
      </c>
      <c r="AG406">
        <v>1.6E-2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ROW(Source!A647)</f>
        <v>647</v>
      </c>
      <c r="B407">
        <v>1471999690</v>
      </c>
      <c r="C407">
        <v>1471752231</v>
      </c>
      <c r="D407">
        <v>1441836235</v>
      </c>
      <c r="E407">
        <v>1</v>
      </c>
      <c r="F407">
        <v>1</v>
      </c>
      <c r="G407">
        <v>15514512</v>
      </c>
      <c r="H407">
        <v>3</v>
      </c>
      <c r="I407" t="s">
        <v>578</v>
      </c>
      <c r="J407" t="s">
        <v>579</v>
      </c>
      <c r="K407" t="s">
        <v>580</v>
      </c>
      <c r="L407">
        <v>1346</v>
      </c>
      <c r="N407">
        <v>1009</v>
      </c>
      <c r="O407" t="s">
        <v>577</v>
      </c>
      <c r="P407" t="s">
        <v>577</v>
      </c>
      <c r="Q407">
        <v>1</v>
      </c>
      <c r="X407">
        <v>0.05</v>
      </c>
      <c r="Y407">
        <v>31.49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117</v>
      </c>
      <c r="AG407">
        <v>0.1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ROW(Source!A648)</f>
        <v>648</v>
      </c>
      <c r="B408">
        <v>1471999726</v>
      </c>
      <c r="C408">
        <v>1471752241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563</v>
      </c>
      <c r="J408" t="s">
        <v>3</v>
      </c>
      <c r="K408" t="s">
        <v>564</v>
      </c>
      <c r="L408">
        <v>1191</v>
      </c>
      <c r="N408">
        <v>1013</v>
      </c>
      <c r="O408" t="s">
        <v>565</v>
      </c>
      <c r="P408" t="s">
        <v>565</v>
      </c>
      <c r="Q408">
        <v>1</v>
      </c>
      <c r="X408">
        <v>2.88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117</v>
      </c>
      <c r="AG408">
        <v>5.76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ROW(Source!A648)</f>
        <v>648</v>
      </c>
      <c r="B409">
        <v>1471999727</v>
      </c>
      <c r="C409">
        <v>1471752241</v>
      </c>
      <c r="D409">
        <v>1441836187</v>
      </c>
      <c r="E409">
        <v>1</v>
      </c>
      <c r="F409">
        <v>1</v>
      </c>
      <c r="G409">
        <v>15514512</v>
      </c>
      <c r="H409">
        <v>3</v>
      </c>
      <c r="I409" t="s">
        <v>617</v>
      </c>
      <c r="J409" t="s">
        <v>618</v>
      </c>
      <c r="K409" t="s">
        <v>619</v>
      </c>
      <c r="L409">
        <v>1346</v>
      </c>
      <c r="N409">
        <v>1009</v>
      </c>
      <c r="O409" t="s">
        <v>577</v>
      </c>
      <c r="P409" t="s">
        <v>577</v>
      </c>
      <c r="Q409">
        <v>1</v>
      </c>
      <c r="X409">
        <v>8.0000000000000002E-3</v>
      </c>
      <c r="Y409">
        <v>424.66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117</v>
      </c>
      <c r="AG409">
        <v>1.6E-2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ROW(Source!A648)</f>
        <v>648</v>
      </c>
      <c r="B410">
        <v>1471999728</v>
      </c>
      <c r="C410">
        <v>1471752241</v>
      </c>
      <c r="D410">
        <v>1441836235</v>
      </c>
      <c r="E410">
        <v>1</v>
      </c>
      <c r="F410">
        <v>1</v>
      </c>
      <c r="G410">
        <v>15514512</v>
      </c>
      <c r="H410">
        <v>3</v>
      </c>
      <c r="I410" t="s">
        <v>578</v>
      </c>
      <c r="J410" t="s">
        <v>579</v>
      </c>
      <c r="K410" t="s">
        <v>580</v>
      </c>
      <c r="L410">
        <v>1346</v>
      </c>
      <c r="N410">
        <v>1009</v>
      </c>
      <c r="O410" t="s">
        <v>577</v>
      </c>
      <c r="P410" t="s">
        <v>577</v>
      </c>
      <c r="Q410">
        <v>1</v>
      </c>
      <c r="X410">
        <v>0.05</v>
      </c>
      <c r="Y410">
        <v>31.49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117</v>
      </c>
      <c r="AG410">
        <v>0.1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ROW(Source!A649)</f>
        <v>649</v>
      </c>
      <c r="B411">
        <v>1471999760</v>
      </c>
      <c r="C411">
        <v>1471752251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563</v>
      </c>
      <c r="J411" t="s">
        <v>3</v>
      </c>
      <c r="K411" t="s">
        <v>564</v>
      </c>
      <c r="L411">
        <v>1191</v>
      </c>
      <c r="N411">
        <v>1013</v>
      </c>
      <c r="O411" t="s">
        <v>565</v>
      </c>
      <c r="P411" t="s">
        <v>565</v>
      </c>
      <c r="Q411">
        <v>1</v>
      </c>
      <c r="X411">
        <v>0.87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1</v>
      </c>
      <c r="AF411" t="s">
        <v>541</v>
      </c>
      <c r="AG411">
        <v>1.218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ROW(Source!A649)</f>
        <v>649</v>
      </c>
      <c r="B412">
        <v>1471999761</v>
      </c>
      <c r="C412">
        <v>1471752251</v>
      </c>
      <c r="D412">
        <v>1441834258</v>
      </c>
      <c r="E412">
        <v>1</v>
      </c>
      <c r="F412">
        <v>1</v>
      </c>
      <c r="G412">
        <v>15514512</v>
      </c>
      <c r="H412">
        <v>2</v>
      </c>
      <c r="I412" t="s">
        <v>613</v>
      </c>
      <c r="J412" t="s">
        <v>614</v>
      </c>
      <c r="K412" t="s">
        <v>615</v>
      </c>
      <c r="L412">
        <v>1368</v>
      </c>
      <c r="N412">
        <v>1011</v>
      </c>
      <c r="O412" t="s">
        <v>616</v>
      </c>
      <c r="P412" t="s">
        <v>616</v>
      </c>
      <c r="Q412">
        <v>1</v>
      </c>
      <c r="X412">
        <v>0.05</v>
      </c>
      <c r="Y412">
        <v>0</v>
      </c>
      <c r="Z412">
        <v>1303.01</v>
      </c>
      <c r="AA412">
        <v>826.2</v>
      </c>
      <c r="AB412">
        <v>0</v>
      </c>
      <c r="AC412">
        <v>0</v>
      </c>
      <c r="AD412">
        <v>1</v>
      </c>
      <c r="AE412">
        <v>0</v>
      </c>
      <c r="AF412" t="s">
        <v>540</v>
      </c>
      <c r="AG412">
        <v>6.9999999999999993E-2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ROW(Source!A649)</f>
        <v>649</v>
      </c>
      <c r="B413">
        <v>1471999762</v>
      </c>
      <c r="C413">
        <v>1471752251</v>
      </c>
      <c r="D413">
        <v>1441836186</v>
      </c>
      <c r="E413">
        <v>1</v>
      </c>
      <c r="F413">
        <v>1</v>
      </c>
      <c r="G413">
        <v>15514512</v>
      </c>
      <c r="H413">
        <v>3</v>
      </c>
      <c r="I413" t="s">
        <v>693</v>
      </c>
      <c r="J413" t="s">
        <v>694</v>
      </c>
      <c r="K413" t="s">
        <v>695</v>
      </c>
      <c r="L413">
        <v>1346</v>
      </c>
      <c r="N413">
        <v>1009</v>
      </c>
      <c r="O413" t="s">
        <v>577</v>
      </c>
      <c r="P413" t="s">
        <v>577</v>
      </c>
      <c r="Q413">
        <v>1</v>
      </c>
      <c r="X413">
        <v>2.0000000000000002E-5</v>
      </c>
      <c r="Y413">
        <v>494.57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539</v>
      </c>
      <c r="AG413">
        <v>4.0000000000000003E-5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ROW(Source!A649)</f>
        <v>649</v>
      </c>
      <c r="B414">
        <v>1471999763</v>
      </c>
      <c r="C414">
        <v>1471752251</v>
      </c>
      <c r="D414">
        <v>1441836230</v>
      </c>
      <c r="E414">
        <v>1</v>
      </c>
      <c r="F414">
        <v>1</v>
      </c>
      <c r="G414">
        <v>15514512</v>
      </c>
      <c r="H414">
        <v>3</v>
      </c>
      <c r="I414" t="s">
        <v>690</v>
      </c>
      <c r="J414" t="s">
        <v>691</v>
      </c>
      <c r="K414" t="s">
        <v>692</v>
      </c>
      <c r="L414">
        <v>1327</v>
      </c>
      <c r="N414">
        <v>1005</v>
      </c>
      <c r="O414" t="s">
        <v>659</v>
      </c>
      <c r="P414" t="s">
        <v>659</v>
      </c>
      <c r="Q414">
        <v>1</v>
      </c>
      <c r="X414">
        <v>0.01</v>
      </c>
      <c r="Y414">
        <v>46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539</v>
      </c>
      <c r="AG414">
        <v>0.02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ROW(Source!A650)</f>
        <v>650</v>
      </c>
      <c r="B415">
        <v>1471999780</v>
      </c>
      <c r="C415">
        <v>1471752264</v>
      </c>
      <c r="D415">
        <v>1441819193</v>
      </c>
      <c r="E415">
        <v>15514512</v>
      </c>
      <c r="F415">
        <v>1</v>
      </c>
      <c r="G415">
        <v>15514512</v>
      </c>
      <c r="H415">
        <v>1</v>
      </c>
      <c r="I415" t="s">
        <v>563</v>
      </c>
      <c r="J415" t="s">
        <v>3</v>
      </c>
      <c r="K415" t="s">
        <v>564</v>
      </c>
      <c r="L415">
        <v>1191</v>
      </c>
      <c r="N415">
        <v>1013</v>
      </c>
      <c r="O415" t="s">
        <v>565</v>
      </c>
      <c r="P415" t="s">
        <v>565</v>
      </c>
      <c r="Q415">
        <v>1</v>
      </c>
      <c r="X415">
        <v>0.13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1</v>
      </c>
      <c r="AF415" t="s">
        <v>545</v>
      </c>
      <c r="AG415">
        <v>0.19500000000000001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ROW(Source!A650)</f>
        <v>650</v>
      </c>
      <c r="B416">
        <v>1471999781</v>
      </c>
      <c r="C416">
        <v>1471752264</v>
      </c>
      <c r="D416">
        <v>1441834258</v>
      </c>
      <c r="E416">
        <v>1</v>
      </c>
      <c r="F416">
        <v>1</v>
      </c>
      <c r="G416">
        <v>15514512</v>
      </c>
      <c r="H416">
        <v>2</v>
      </c>
      <c r="I416" t="s">
        <v>613</v>
      </c>
      <c r="J416" t="s">
        <v>614</v>
      </c>
      <c r="K416" t="s">
        <v>615</v>
      </c>
      <c r="L416">
        <v>1368</v>
      </c>
      <c r="N416">
        <v>1011</v>
      </c>
      <c r="O416" t="s">
        <v>616</v>
      </c>
      <c r="P416" t="s">
        <v>616</v>
      </c>
      <c r="Q416">
        <v>1</v>
      </c>
      <c r="X416">
        <v>0.01</v>
      </c>
      <c r="Y416">
        <v>0</v>
      </c>
      <c r="Z416">
        <v>1303.01</v>
      </c>
      <c r="AA416">
        <v>826.2</v>
      </c>
      <c r="AB416">
        <v>0</v>
      </c>
      <c r="AC416">
        <v>0</v>
      </c>
      <c r="AD416">
        <v>1</v>
      </c>
      <c r="AE416">
        <v>0</v>
      </c>
      <c r="AF416" t="s">
        <v>545</v>
      </c>
      <c r="AG416">
        <v>1.4999999999999999E-2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ROW(Source!A650)</f>
        <v>650</v>
      </c>
      <c r="B417">
        <v>1471999782</v>
      </c>
      <c r="C417">
        <v>1471752264</v>
      </c>
      <c r="D417">
        <v>1441836186</v>
      </c>
      <c r="E417">
        <v>1</v>
      </c>
      <c r="F417">
        <v>1</v>
      </c>
      <c r="G417">
        <v>15514512</v>
      </c>
      <c r="H417">
        <v>3</v>
      </c>
      <c r="I417" t="s">
        <v>693</v>
      </c>
      <c r="J417" t="s">
        <v>694</v>
      </c>
      <c r="K417" t="s">
        <v>695</v>
      </c>
      <c r="L417">
        <v>1346</v>
      </c>
      <c r="N417">
        <v>1009</v>
      </c>
      <c r="O417" t="s">
        <v>577</v>
      </c>
      <c r="P417" t="s">
        <v>577</v>
      </c>
      <c r="Q417">
        <v>1</v>
      </c>
      <c r="X417">
        <v>2E-3</v>
      </c>
      <c r="Y417">
        <v>494.57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539</v>
      </c>
      <c r="AG417">
        <v>4.0000000000000001E-3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ROW(Source!A650)</f>
        <v>650</v>
      </c>
      <c r="B418">
        <v>1471999783</v>
      </c>
      <c r="C418">
        <v>1471752264</v>
      </c>
      <c r="D418">
        <v>1441836230</v>
      </c>
      <c r="E418">
        <v>1</v>
      </c>
      <c r="F418">
        <v>1</v>
      </c>
      <c r="G418">
        <v>15514512</v>
      </c>
      <c r="H418">
        <v>3</v>
      </c>
      <c r="I418" t="s">
        <v>690</v>
      </c>
      <c r="J418" t="s">
        <v>691</v>
      </c>
      <c r="K418" t="s">
        <v>692</v>
      </c>
      <c r="L418">
        <v>1327</v>
      </c>
      <c r="N418">
        <v>1005</v>
      </c>
      <c r="O418" t="s">
        <v>659</v>
      </c>
      <c r="P418" t="s">
        <v>659</v>
      </c>
      <c r="Q418">
        <v>1</v>
      </c>
      <c r="X418">
        <v>0.01</v>
      </c>
      <c r="Y418">
        <v>46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539</v>
      </c>
      <c r="AG418">
        <v>0.02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ROW(Source!A651)</f>
        <v>651</v>
      </c>
      <c r="B419">
        <v>1471999798</v>
      </c>
      <c r="C419">
        <v>1471752277</v>
      </c>
      <c r="D419">
        <v>1441819193</v>
      </c>
      <c r="E419">
        <v>15514512</v>
      </c>
      <c r="F419">
        <v>1</v>
      </c>
      <c r="G419">
        <v>15514512</v>
      </c>
      <c r="H419">
        <v>1</v>
      </c>
      <c r="I419" t="s">
        <v>563</v>
      </c>
      <c r="J419" t="s">
        <v>3</v>
      </c>
      <c r="K419" t="s">
        <v>564</v>
      </c>
      <c r="L419">
        <v>1191</v>
      </c>
      <c r="N419">
        <v>1013</v>
      </c>
      <c r="O419" t="s">
        <v>565</v>
      </c>
      <c r="P419" t="s">
        <v>565</v>
      </c>
      <c r="Q419">
        <v>1</v>
      </c>
      <c r="X419">
        <v>0.92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1</v>
      </c>
      <c r="AF419" t="s">
        <v>117</v>
      </c>
      <c r="AG419">
        <v>1.84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ROW(Source!A651)</f>
        <v>651</v>
      </c>
      <c r="B420">
        <v>1471999800</v>
      </c>
      <c r="C420">
        <v>1471752277</v>
      </c>
      <c r="D420">
        <v>1441836187</v>
      </c>
      <c r="E420">
        <v>1</v>
      </c>
      <c r="F420">
        <v>1</v>
      </c>
      <c r="G420">
        <v>15514512</v>
      </c>
      <c r="H420">
        <v>3</v>
      </c>
      <c r="I420" t="s">
        <v>617</v>
      </c>
      <c r="J420" t="s">
        <v>618</v>
      </c>
      <c r="K420" t="s">
        <v>619</v>
      </c>
      <c r="L420">
        <v>1346</v>
      </c>
      <c r="N420">
        <v>1009</v>
      </c>
      <c r="O420" t="s">
        <v>577</v>
      </c>
      <c r="P420" t="s">
        <v>577</v>
      </c>
      <c r="Q420">
        <v>1</v>
      </c>
      <c r="X420">
        <v>1.6E-2</v>
      </c>
      <c r="Y420">
        <v>424.66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117</v>
      </c>
      <c r="AG420">
        <v>3.2000000000000001E-2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ROW(Source!A651)</f>
        <v>651</v>
      </c>
      <c r="B421">
        <v>1471999801</v>
      </c>
      <c r="C421">
        <v>1471752277</v>
      </c>
      <c r="D421">
        <v>1441836235</v>
      </c>
      <c r="E421">
        <v>1</v>
      </c>
      <c r="F421">
        <v>1</v>
      </c>
      <c r="G421">
        <v>15514512</v>
      </c>
      <c r="H421">
        <v>3</v>
      </c>
      <c r="I421" t="s">
        <v>578</v>
      </c>
      <c r="J421" t="s">
        <v>579</v>
      </c>
      <c r="K421" t="s">
        <v>580</v>
      </c>
      <c r="L421">
        <v>1346</v>
      </c>
      <c r="N421">
        <v>1009</v>
      </c>
      <c r="O421" t="s">
        <v>577</v>
      </c>
      <c r="P421" t="s">
        <v>577</v>
      </c>
      <c r="Q421">
        <v>1</v>
      </c>
      <c r="X421">
        <v>0.5</v>
      </c>
      <c r="Y421">
        <v>31.49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117</v>
      </c>
      <c r="AG421">
        <v>1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ROW(Source!A652)</f>
        <v>652</v>
      </c>
      <c r="B422">
        <v>1471999840</v>
      </c>
      <c r="C422">
        <v>1471752287</v>
      </c>
      <c r="D422">
        <v>1441819193</v>
      </c>
      <c r="E422">
        <v>15514512</v>
      </c>
      <c r="F422">
        <v>1</v>
      </c>
      <c r="G422">
        <v>15514512</v>
      </c>
      <c r="H422">
        <v>1</v>
      </c>
      <c r="I422" t="s">
        <v>563</v>
      </c>
      <c r="J422" t="s">
        <v>3</v>
      </c>
      <c r="K422" t="s">
        <v>564</v>
      </c>
      <c r="L422">
        <v>1191</v>
      </c>
      <c r="N422">
        <v>1013</v>
      </c>
      <c r="O422" t="s">
        <v>565</v>
      </c>
      <c r="P422" t="s">
        <v>565</v>
      </c>
      <c r="Q422">
        <v>1</v>
      </c>
      <c r="X422">
        <v>0.8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1</v>
      </c>
      <c r="AF422" t="s">
        <v>117</v>
      </c>
      <c r="AG422">
        <v>1.6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ROW(Source!A653)</f>
        <v>653</v>
      </c>
      <c r="B423">
        <v>1471999879</v>
      </c>
      <c r="C423">
        <v>1471752291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563</v>
      </c>
      <c r="J423" t="s">
        <v>3</v>
      </c>
      <c r="K423" t="s">
        <v>564</v>
      </c>
      <c r="L423">
        <v>1191</v>
      </c>
      <c r="N423">
        <v>1013</v>
      </c>
      <c r="O423" t="s">
        <v>565</v>
      </c>
      <c r="P423" t="s">
        <v>565</v>
      </c>
      <c r="Q423">
        <v>1</v>
      </c>
      <c r="X423">
        <v>0.82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1</v>
      </c>
      <c r="AF423" t="s">
        <v>117</v>
      </c>
      <c r="AG423">
        <v>1.64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ROW(Source!A654)</f>
        <v>654</v>
      </c>
      <c r="B424">
        <v>1471999904</v>
      </c>
      <c r="C424">
        <v>1471752295</v>
      </c>
      <c r="D424">
        <v>1441819193</v>
      </c>
      <c r="E424">
        <v>15514512</v>
      </c>
      <c r="F424">
        <v>1</v>
      </c>
      <c r="G424">
        <v>15514512</v>
      </c>
      <c r="H424">
        <v>1</v>
      </c>
      <c r="I424" t="s">
        <v>563</v>
      </c>
      <c r="J424" t="s">
        <v>3</v>
      </c>
      <c r="K424" t="s">
        <v>564</v>
      </c>
      <c r="L424">
        <v>1191</v>
      </c>
      <c r="N424">
        <v>1013</v>
      </c>
      <c r="O424" t="s">
        <v>565</v>
      </c>
      <c r="P424" t="s">
        <v>565</v>
      </c>
      <c r="Q424">
        <v>1</v>
      </c>
      <c r="X424">
        <v>0.7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1</v>
      </c>
      <c r="AF424" t="s">
        <v>3</v>
      </c>
      <c r="AG424">
        <v>0.7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объект_(Копия)_(Копия)</v>
      </c>
      <c r="G12" t="str">
        <f>Source!G12</f>
        <v>СН_1.1_на 4 месяца (10%)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2025-12-10T15:22:30Z</dcterms:created>
  <dcterms:modified xsi:type="dcterms:W3CDTF">2025-12-11T12:53:02Z</dcterms:modified>
</cp:coreProperties>
</file>